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ctrum1\Desktop\"/>
    </mc:Choice>
  </mc:AlternateContent>
  <workbookProtection workbookPassword="CC6C" lockStructure="1"/>
  <bookViews>
    <workbookView xWindow="480" yWindow="165" windowWidth="22995" windowHeight="9915"/>
  </bookViews>
  <sheets>
    <sheet name="Calculation BELT" sheetId="5" r:id="rId1"/>
    <sheet name="Calculation SCREW" sheetId="1" r:id="rId2"/>
    <sheet name="Blad2" sheetId="2" state="hidden" r:id="rId3"/>
    <sheet name="Calculation WV" sheetId="6" r:id="rId4"/>
    <sheet name="Information" sheetId="4" r:id="rId5"/>
    <sheet name="Blad3" sheetId="3" state="hidden" r:id="rId6"/>
  </sheets>
  <definedNames>
    <definedName name="_xlnm.Print_Area" localSheetId="0">'Calculation BELT'!$A$1:$J$148</definedName>
    <definedName name="_xlnm.Print_Area" localSheetId="1">'Calculation SCREW'!$A$1:$J$148</definedName>
    <definedName name="_xlnm.Print_Area" localSheetId="3">'Calculation WV'!$A$1:$J$147</definedName>
  </definedNames>
  <calcPr calcId="152511"/>
</workbook>
</file>

<file path=xl/calcChain.xml><?xml version="1.0" encoding="utf-8"?>
<calcChain xmlns="http://schemas.openxmlformats.org/spreadsheetml/2006/main">
  <c r="C42" i="2" l="1"/>
  <c r="C41" i="2"/>
  <c r="H41" i="2" s="1"/>
  <c r="C39" i="2"/>
  <c r="C40" i="2" s="1"/>
  <c r="J46" i="2" l="1"/>
  <c r="J45" i="2" s="1"/>
  <c r="J44" i="2"/>
  <c r="J43" i="2" s="1"/>
  <c r="N46" i="2"/>
  <c r="I43" i="2"/>
  <c r="I44" i="2" s="1"/>
  <c r="I45" i="2"/>
  <c r="I46" i="2" s="1"/>
  <c r="A50" i="6"/>
  <c r="AA18" i="6"/>
  <c r="AI40" i="6"/>
  <c r="AI26" i="6"/>
  <c r="AE12" i="6"/>
  <c r="I34" i="6"/>
  <c r="G32" i="6"/>
  <c r="AD17" i="6"/>
  <c r="AD16" i="6"/>
  <c r="AD15" i="6"/>
  <c r="AD14" i="6"/>
  <c r="AD13" i="6"/>
  <c r="I39" i="2" l="1"/>
  <c r="H45" i="2" s="1"/>
  <c r="C45" i="2" s="1"/>
  <c r="I49" i="2"/>
  <c r="J40" i="2"/>
  <c r="M289" i="6"/>
  <c r="M288" i="6"/>
  <c r="M287" i="6"/>
  <c r="M286" i="6"/>
  <c r="M285" i="6"/>
  <c r="M284" i="6"/>
  <c r="M283" i="6"/>
  <c r="M282" i="6"/>
  <c r="M281" i="6"/>
  <c r="M280" i="6"/>
  <c r="M279" i="6"/>
  <c r="M278" i="6"/>
  <c r="M277" i="6"/>
  <c r="M276" i="6"/>
  <c r="M275" i="6"/>
  <c r="M274" i="6"/>
  <c r="M273" i="6"/>
  <c r="M272" i="6"/>
  <c r="M271" i="6"/>
  <c r="M270" i="6"/>
  <c r="M269" i="6"/>
  <c r="M268" i="6"/>
  <c r="M267" i="6"/>
  <c r="M266" i="6"/>
  <c r="P259" i="6"/>
  <c r="P258" i="6"/>
  <c r="P225" i="6"/>
  <c r="O225" i="6"/>
  <c r="N225" i="6"/>
  <c r="M225" i="6"/>
  <c r="Q213" i="6"/>
  <c r="Q212" i="6"/>
  <c r="R211" i="6"/>
  <c r="Q211" i="6"/>
  <c r="R209" i="6"/>
  <c r="Q209" i="6"/>
  <c r="Q208" i="6"/>
  <c r="R207" i="6"/>
  <c r="Q207" i="6"/>
  <c r="Q206" i="6"/>
  <c r="Q205" i="6"/>
  <c r="Q204" i="6"/>
  <c r="Q202" i="6"/>
  <c r="Q201" i="6"/>
  <c r="Q200" i="6"/>
  <c r="Q199" i="6"/>
  <c r="Q198" i="6"/>
  <c r="P197" i="6"/>
  <c r="O197" i="6"/>
  <c r="M197" i="6"/>
  <c r="V183" i="6"/>
  <c r="V182" i="6"/>
  <c r="V181" i="6"/>
  <c r="V180" i="6"/>
  <c r="V179" i="6"/>
  <c r="V178" i="6"/>
  <c r="V177" i="6"/>
  <c r="V176" i="6"/>
  <c r="V175" i="6"/>
  <c r="V174" i="6"/>
  <c r="V173" i="6"/>
  <c r="V172" i="6"/>
  <c r="V171" i="6"/>
  <c r="V170" i="6"/>
  <c r="V169" i="6"/>
  <c r="Y168" i="6"/>
  <c r="X168" i="6"/>
  <c r="W168" i="6"/>
  <c r="U168" i="6"/>
  <c r="T168" i="6"/>
  <c r="S168" i="6"/>
  <c r="R168" i="6"/>
  <c r="Q168" i="6"/>
  <c r="P168" i="6"/>
  <c r="O168" i="6"/>
  <c r="N168" i="6"/>
  <c r="M168" i="6"/>
  <c r="T157" i="6"/>
  <c r="AA129" i="6"/>
  <c r="AC129" i="6" s="1"/>
  <c r="G132" i="6"/>
  <c r="Q131" i="6"/>
  <c r="M131" i="6"/>
  <c r="AB105" i="6"/>
  <c r="Q130" i="6"/>
  <c r="P130" i="6"/>
  <c r="O130" i="6"/>
  <c r="N130" i="6"/>
  <c r="M130" i="6"/>
  <c r="Y103" i="6"/>
  <c r="AA104" i="6" s="1"/>
  <c r="E126" i="6"/>
  <c r="C126" i="6"/>
  <c r="AC100" i="6"/>
  <c r="AB100" i="6"/>
  <c r="AC99" i="6"/>
  <c r="AC98" i="6"/>
  <c r="C122" i="6"/>
  <c r="E121" i="6"/>
  <c r="D121" i="6"/>
  <c r="C121" i="6"/>
  <c r="E120" i="6"/>
  <c r="C120" i="6"/>
  <c r="E119" i="6"/>
  <c r="C119" i="6"/>
  <c r="E118" i="6"/>
  <c r="C118" i="6"/>
  <c r="F113" i="6"/>
  <c r="E113" i="6"/>
  <c r="C113" i="6"/>
  <c r="E112" i="6"/>
  <c r="C112" i="6"/>
  <c r="C111" i="6"/>
  <c r="C110" i="6"/>
  <c r="AL82" i="6"/>
  <c r="AL81" i="6"/>
  <c r="AL80" i="6"/>
  <c r="AL79" i="6"/>
  <c r="AL78" i="6" s="1"/>
  <c r="H100" i="6"/>
  <c r="Z69" i="6"/>
  <c r="Z68" i="6"/>
  <c r="Z56" i="6"/>
  <c r="Z55" i="6"/>
  <c r="Z57" i="6"/>
  <c r="F55" i="6"/>
  <c r="E53" i="6"/>
  <c r="M51" i="6"/>
  <c r="M50" i="6"/>
  <c r="M49" i="6"/>
  <c r="Z43" i="6"/>
  <c r="Z41" i="6"/>
  <c r="Z27" i="6"/>
  <c r="F25" i="6"/>
  <c r="G24" i="6"/>
  <c r="A22" i="6"/>
  <c r="BN21" i="6"/>
  <c r="X20" i="6"/>
  <c r="X19" i="6"/>
  <c r="S18" i="6"/>
  <c r="E18" i="6"/>
  <c r="BD17" i="6"/>
  <c r="Z7" i="6" s="1"/>
  <c r="AX17" i="6"/>
  <c r="Z6" i="6" s="1"/>
  <c r="AR17" i="6"/>
  <c r="Z5" i="6" s="1"/>
  <c r="F17" i="6"/>
  <c r="BH16" i="6"/>
  <c r="BO19" i="6" s="1"/>
  <c r="U16" i="6"/>
  <c r="V15" i="6"/>
  <c r="W13" i="6"/>
  <c r="Y13" i="6"/>
  <c r="S13" i="6"/>
  <c r="BC7" i="6"/>
  <c r="BC6" i="6"/>
  <c r="BC5" i="6"/>
  <c r="BC4" i="6" s="1"/>
  <c r="BI4" i="6"/>
  <c r="BH4" i="6"/>
  <c r="BG4" i="6"/>
  <c r="BF4" i="6"/>
  <c r="BE4" i="6"/>
  <c r="BD4" i="6"/>
  <c r="BB4" i="6"/>
  <c r="BA4" i="6"/>
  <c r="AZ4" i="6"/>
  <c r="AY4" i="6"/>
  <c r="AX4" i="6"/>
  <c r="AV4" i="6"/>
  <c r="AU4" i="6"/>
  <c r="AT4" i="6"/>
  <c r="AS4" i="6"/>
  <c r="AR4" i="6"/>
  <c r="AQ4" i="6"/>
  <c r="U14" i="6" s="1"/>
  <c r="U13" i="6" s="1"/>
  <c r="AP4" i="6"/>
  <c r="AO4" i="6"/>
  <c r="AN4" i="6"/>
  <c r="AM4" i="6"/>
  <c r="AL4" i="6"/>
  <c r="AK4" i="6"/>
  <c r="AJ4" i="6"/>
  <c r="E52" i="6" s="1"/>
  <c r="AI4" i="6"/>
  <c r="AH4" i="6"/>
  <c r="AE4" i="6"/>
  <c r="AA4" i="6"/>
  <c r="Y4" i="6"/>
  <c r="U15" i="6" s="1"/>
  <c r="W4" i="6"/>
  <c r="C15" i="6" s="1"/>
  <c r="V4" i="6"/>
  <c r="U4" i="6"/>
  <c r="T4" i="6"/>
  <c r="S4" i="6"/>
  <c r="C11" i="6" s="1"/>
  <c r="R4" i="6"/>
  <c r="D120" i="6" l="1"/>
  <c r="D119" i="6"/>
  <c r="I40" i="2"/>
  <c r="L47" i="2" s="1"/>
  <c r="M47" i="2" s="1"/>
  <c r="H43" i="2"/>
  <c r="C43" i="2" s="1"/>
  <c r="C44" i="2"/>
  <c r="C46" i="2"/>
  <c r="R197" i="6"/>
  <c r="V168" i="6"/>
  <c r="Q197" i="6"/>
  <c r="D118" i="6" s="1"/>
  <c r="Z67" i="6"/>
  <c r="AH67" i="6" s="1"/>
  <c r="Z54" i="6"/>
  <c r="AI67" i="6"/>
  <c r="AM82" i="6" s="1"/>
  <c r="AI54" i="6"/>
  <c r="Z26" i="6"/>
  <c r="Z40" i="6"/>
  <c r="AH40" i="6" s="1"/>
  <c r="Z31" i="6"/>
  <c r="BO25" i="6"/>
  <c r="BO22" i="6"/>
  <c r="BO23" i="6"/>
  <c r="BO21" i="6" s="1"/>
  <c r="AW4" i="6" s="1"/>
  <c r="BO24" i="6"/>
  <c r="BO20" i="6"/>
  <c r="BO18" i="6"/>
  <c r="Z4" i="6"/>
  <c r="AG4" i="6"/>
  <c r="AB57" i="6"/>
  <c r="Z30" i="6"/>
  <c r="Z42" i="6"/>
  <c r="AD4" i="6"/>
  <c r="Z78" i="6"/>
  <c r="R78" i="6"/>
  <c r="S78" i="6"/>
  <c r="Z44" i="6"/>
  <c r="AF4" i="6"/>
  <c r="Z28" i="6"/>
  <c r="AB29" i="6"/>
  <c r="AE78" i="6" s="1"/>
  <c r="AC4" i="6"/>
  <c r="V14" i="6"/>
  <c r="V16" i="6"/>
  <c r="AB104" i="6"/>
  <c r="T156" i="6" s="1"/>
  <c r="T164" i="5"/>
  <c r="BO16" i="6" l="1"/>
  <c r="BI27" i="6" s="1"/>
  <c r="BK30" i="6" s="1"/>
  <c r="O131" i="6" s="1"/>
  <c r="T158" i="6"/>
  <c r="H47" i="2"/>
  <c r="C48" i="2" s="1"/>
  <c r="J49" i="2" s="1"/>
  <c r="C49" i="2" s="1"/>
  <c r="J47" i="2"/>
  <c r="L46" i="2"/>
  <c r="Z58" i="6"/>
  <c r="W48" i="6"/>
  <c r="W75" i="6"/>
  <c r="G19" i="6"/>
  <c r="AB31" i="6"/>
  <c r="AI78" i="6" s="1"/>
  <c r="V13" i="6"/>
  <c r="AB59" i="6"/>
  <c r="Z59" i="6"/>
  <c r="Z72" i="6"/>
  <c r="Z71" i="6"/>
  <c r="V75" i="6"/>
  <c r="A71" i="6"/>
  <c r="AA19" i="6"/>
  <c r="Z45" i="6"/>
  <c r="Z29" i="6"/>
  <c r="V48" i="6"/>
  <c r="W62" i="6"/>
  <c r="AM81" i="6" s="1"/>
  <c r="AB58" i="6"/>
  <c r="AB71" i="6"/>
  <c r="AB44" i="6"/>
  <c r="AB30" i="6"/>
  <c r="AG78" i="6" s="1"/>
  <c r="AB69" i="6"/>
  <c r="AB56" i="6"/>
  <c r="AB42" i="6"/>
  <c r="AB28" i="6"/>
  <c r="AC78" i="6" s="1"/>
  <c r="AB68" i="6"/>
  <c r="AB55" i="6"/>
  <c r="AB41" i="6"/>
  <c r="AB27" i="6"/>
  <c r="O4" i="5"/>
  <c r="N4" i="5"/>
  <c r="T163" i="5"/>
  <c r="Y137" i="5"/>
  <c r="C14" i="6" l="1"/>
  <c r="R87" i="6"/>
  <c r="U87" i="6" s="1"/>
  <c r="X6" i="6"/>
  <c r="X7" i="6"/>
  <c r="X5" i="6"/>
  <c r="X4" i="6" s="1"/>
  <c r="C20" i="6" s="1"/>
  <c r="AB7" i="6"/>
  <c r="AB4" i="6" s="1"/>
  <c r="AB40" i="6" s="1"/>
  <c r="Y80" i="6" s="1"/>
  <c r="C47" i="2"/>
  <c r="M46" i="2"/>
  <c r="C50" i="2"/>
  <c r="C58" i="6"/>
  <c r="G91" i="6" s="1"/>
  <c r="H91" i="6" s="1"/>
  <c r="D24" i="6"/>
  <c r="T152" i="6"/>
  <c r="AB78" i="6"/>
  <c r="AH78" i="6"/>
  <c r="AF78" i="6"/>
  <c r="C82" i="6"/>
  <c r="BL30" i="6"/>
  <c r="P131" i="6" s="1"/>
  <c r="BJ30" i="6"/>
  <c r="N131" i="6" s="1"/>
  <c r="O133" i="6" s="1"/>
  <c r="O135" i="6" s="1"/>
  <c r="AD78" i="6"/>
  <c r="V62" i="6"/>
  <c r="V34" i="6"/>
  <c r="W34" i="6"/>
  <c r="AM79" i="6" s="1"/>
  <c r="AM78" i="6" s="1"/>
  <c r="X82" i="6"/>
  <c r="X80" i="6"/>
  <c r="AM80" i="6"/>
  <c r="BC11" i="5"/>
  <c r="BB11" i="5"/>
  <c r="BC10" i="5"/>
  <c r="BB10" i="5"/>
  <c r="BA11" i="5"/>
  <c r="BA10" i="5"/>
  <c r="BC6" i="5"/>
  <c r="BB6" i="5"/>
  <c r="BA6" i="5"/>
  <c r="AW8" i="5"/>
  <c r="AW9" i="5"/>
  <c r="AW10" i="5"/>
  <c r="AW11" i="5"/>
  <c r="AW7" i="5"/>
  <c r="AW6" i="5"/>
  <c r="AW5" i="5"/>
  <c r="P139" i="5"/>
  <c r="O139" i="5"/>
  <c r="C25" i="2"/>
  <c r="C24" i="2"/>
  <c r="H24" i="2" s="1"/>
  <c r="C22" i="2"/>
  <c r="C23" i="2" s="1"/>
  <c r="G52" i="6" l="1"/>
  <c r="F100" i="6"/>
  <c r="T151" i="6"/>
  <c r="S154" i="6" s="1"/>
  <c r="D104" i="6" s="1"/>
  <c r="AA128" i="6"/>
  <c r="AB67" i="6"/>
  <c r="Y82" i="6" s="1"/>
  <c r="AB26" i="6"/>
  <c r="Y79" i="6" s="1"/>
  <c r="Y78" i="6" s="1"/>
  <c r="D74" i="6" s="1"/>
  <c r="AB54" i="6"/>
  <c r="Y81" i="6" s="1"/>
  <c r="E42" i="6"/>
  <c r="D133" i="6"/>
  <c r="F132" i="6" s="1"/>
  <c r="AC128" i="6"/>
  <c r="AA78" i="6"/>
  <c r="P145" i="6"/>
  <c r="AN82" i="6"/>
  <c r="AK82" i="6"/>
  <c r="AH54" i="6"/>
  <c r="X81" i="6"/>
  <c r="AK80" i="6"/>
  <c r="AN80" i="6"/>
  <c r="X79" i="6"/>
  <c r="AH26" i="6"/>
  <c r="D100" i="6"/>
  <c r="J29" i="2"/>
  <c r="J28" i="2" s="1"/>
  <c r="J27" i="2"/>
  <c r="J26" i="2" s="1"/>
  <c r="N29" i="2"/>
  <c r="I26" i="2"/>
  <c r="I27" i="2" s="1"/>
  <c r="I28" i="2"/>
  <c r="I29" i="2" s="1"/>
  <c r="E87" i="5"/>
  <c r="E94" i="5"/>
  <c r="E93" i="5"/>
  <c r="AA127" i="6" l="1"/>
  <c r="AA130" i="6" s="1"/>
  <c r="S160" i="6"/>
  <c r="R161" i="6" s="1"/>
  <c r="D134" i="6" s="1"/>
  <c r="AC127" i="6"/>
  <c r="AC130" i="6" s="1"/>
  <c r="X78" i="6"/>
  <c r="B74" i="6" s="1"/>
  <c r="F74" i="6" s="1"/>
  <c r="AJ78" i="6"/>
  <c r="D102" i="6"/>
  <c r="F102" i="6" s="1"/>
  <c r="Z147" i="6"/>
  <c r="AK79" i="6"/>
  <c r="AN79" i="6"/>
  <c r="AK81" i="6"/>
  <c r="AN81" i="6"/>
  <c r="I22" i="2"/>
  <c r="I32" i="2"/>
  <c r="J23" i="2"/>
  <c r="AV11" i="5"/>
  <c r="AV10" i="5"/>
  <c r="AV9" i="5"/>
  <c r="AV5" i="5"/>
  <c r="AU11" i="5"/>
  <c r="AU10" i="5"/>
  <c r="AU9" i="5"/>
  <c r="AU5" i="5"/>
  <c r="AQ11" i="5"/>
  <c r="AQ10" i="5"/>
  <c r="AQ9" i="5"/>
  <c r="AQ6" i="5"/>
  <c r="AN78" i="6" l="1"/>
  <c r="P146" i="6" s="1"/>
  <c r="P149" i="6" s="1"/>
  <c r="AK78" i="6"/>
  <c r="P122" i="6" s="1"/>
  <c r="R122" i="6" s="1"/>
  <c r="D129" i="6"/>
  <c r="D131" i="6" s="1"/>
  <c r="Z148" i="6"/>
  <c r="D130" i="6" s="1"/>
  <c r="D132" i="6" s="1"/>
  <c r="A35" i="2"/>
  <c r="A60" i="5" s="1"/>
  <c r="A36" i="2"/>
  <c r="A61" i="5" s="1"/>
  <c r="D36" i="2"/>
  <c r="D61" i="5" s="1"/>
  <c r="C36" i="2"/>
  <c r="C61" i="5" s="1"/>
  <c r="H26" i="2"/>
  <c r="L29" i="2" s="1"/>
  <c r="C29" i="2"/>
  <c r="H28" i="2"/>
  <c r="C28" i="2" s="1"/>
  <c r="I23" i="2"/>
  <c r="L30" i="2" s="1"/>
  <c r="M30" i="2" s="1"/>
  <c r="C27" i="2"/>
  <c r="S16" i="5"/>
  <c r="F18" i="5" s="1"/>
  <c r="AG7" i="5"/>
  <c r="AG8" i="5"/>
  <c r="AG9" i="5"/>
  <c r="AG5" i="5"/>
  <c r="AF11" i="5"/>
  <c r="AG11" i="5" s="1"/>
  <c r="AF10" i="5"/>
  <c r="AG10" i="5" s="1"/>
  <c r="AF6" i="5"/>
  <c r="AG6" i="5" s="1"/>
  <c r="AD6" i="5"/>
  <c r="AD7" i="5"/>
  <c r="AD8" i="5"/>
  <c r="AD9" i="5"/>
  <c r="AD10" i="5"/>
  <c r="AD11" i="5"/>
  <c r="AD5" i="5"/>
  <c r="AB5" i="5"/>
  <c r="AB6" i="5" s="1"/>
  <c r="AB7" i="5"/>
  <c r="AB10" i="5" s="1"/>
  <c r="Z11" i="5"/>
  <c r="Z10" i="5"/>
  <c r="Z6" i="5"/>
  <c r="H18" i="5"/>
  <c r="P16" i="5"/>
  <c r="Q4" i="5" s="1"/>
  <c r="R17" i="5"/>
  <c r="D103" i="6" l="1"/>
  <c r="F103" i="6" s="1"/>
  <c r="B105" i="6"/>
  <c r="P119" i="6"/>
  <c r="R119" i="6" s="1"/>
  <c r="F88" i="6" s="1"/>
  <c r="V122" i="6"/>
  <c r="D97" i="6" s="1"/>
  <c r="T122" i="6"/>
  <c r="D89" i="6" s="1"/>
  <c r="F89" i="6"/>
  <c r="BF4" i="5"/>
  <c r="AY4" i="5"/>
  <c r="BC4" i="5"/>
  <c r="P140" i="5" s="1"/>
  <c r="BG4" i="5"/>
  <c r="AZ4" i="5"/>
  <c r="BD4" i="5"/>
  <c r="BH4" i="5"/>
  <c r="AS4" i="5"/>
  <c r="AW4" i="5"/>
  <c r="BA4" i="5"/>
  <c r="N140" i="5" s="1"/>
  <c r="BE4" i="5"/>
  <c r="BI4" i="5"/>
  <c r="AT4" i="5"/>
  <c r="AX4" i="5"/>
  <c r="BB4" i="5"/>
  <c r="O140" i="5" s="1"/>
  <c r="C26" i="2"/>
  <c r="J30" i="2"/>
  <c r="H30" i="2"/>
  <c r="C30" i="2" s="1"/>
  <c r="Z4" i="5"/>
  <c r="G19" i="5" s="1"/>
  <c r="AF23" i="5"/>
  <c r="AB8" i="5"/>
  <c r="AB9" i="5"/>
  <c r="AB11" i="5"/>
  <c r="AP4" i="5"/>
  <c r="X4" i="5"/>
  <c r="AL4" i="5"/>
  <c r="AE4" i="5"/>
  <c r="AR4" i="5"/>
  <c r="AN4" i="5"/>
  <c r="AJ4" i="5"/>
  <c r="AA4" i="5"/>
  <c r="I18" i="5" s="1"/>
  <c r="AG4" i="5"/>
  <c r="AQ4" i="5"/>
  <c r="U16" i="5" s="1"/>
  <c r="AM4" i="5"/>
  <c r="V16" i="5" s="1"/>
  <c r="AI4" i="5"/>
  <c r="AH4" i="5"/>
  <c r="AO4" i="5"/>
  <c r="AK4" i="5"/>
  <c r="V4" i="5"/>
  <c r="W16" i="5" s="1"/>
  <c r="AC4" i="5"/>
  <c r="Y4" i="5"/>
  <c r="AF4" i="5"/>
  <c r="AB4" i="5"/>
  <c r="AD4" i="5"/>
  <c r="U4" i="5"/>
  <c r="S4" i="5"/>
  <c r="W28" i="5" s="1"/>
  <c r="R4" i="5"/>
  <c r="R19" i="5"/>
  <c r="R20" i="5"/>
  <c r="R16" i="5" s="1"/>
  <c r="T119" i="6" l="1"/>
  <c r="D88" i="6" s="1"/>
  <c r="V119" i="6"/>
  <c r="D96" i="6" s="1"/>
  <c r="C83" i="5"/>
  <c r="T158" i="5"/>
  <c r="T159" i="5"/>
  <c r="T160" i="5"/>
  <c r="C31" i="2"/>
  <c r="J32" i="2" s="1"/>
  <c r="C32" i="2" s="1"/>
  <c r="M29" i="2"/>
  <c r="D24" i="5"/>
  <c r="C14" i="5"/>
  <c r="R117" i="5" s="1"/>
  <c r="O142" i="5" s="1"/>
  <c r="C12" i="5"/>
  <c r="M298" i="5"/>
  <c r="M297" i="5"/>
  <c r="M296" i="5"/>
  <c r="M295" i="5"/>
  <c r="M294" i="5"/>
  <c r="M293" i="5"/>
  <c r="M292" i="5"/>
  <c r="M291" i="5"/>
  <c r="M290" i="5"/>
  <c r="M289" i="5"/>
  <c r="M288" i="5"/>
  <c r="M287" i="5"/>
  <c r="M286" i="5"/>
  <c r="M285" i="5"/>
  <c r="M284" i="5"/>
  <c r="M283" i="5"/>
  <c r="M282" i="5"/>
  <c r="M281" i="5"/>
  <c r="M280" i="5"/>
  <c r="M279" i="5"/>
  <c r="M278" i="5"/>
  <c r="M277" i="5"/>
  <c r="M276" i="5"/>
  <c r="M275" i="5"/>
  <c r="P268" i="5"/>
  <c r="P267" i="5"/>
  <c r="P234" i="5"/>
  <c r="O234" i="5"/>
  <c r="N234" i="5"/>
  <c r="M234" i="5"/>
  <c r="Q222" i="5"/>
  <c r="Q221" i="5"/>
  <c r="R220" i="5"/>
  <c r="Q220" i="5"/>
  <c r="R218" i="5"/>
  <c r="Q218" i="5"/>
  <c r="Q217" i="5"/>
  <c r="R216" i="5"/>
  <c r="Q216" i="5"/>
  <c r="Q215" i="5"/>
  <c r="Q214" i="5"/>
  <c r="Q213" i="5"/>
  <c r="Q211" i="5"/>
  <c r="Q210" i="5"/>
  <c r="Q209" i="5"/>
  <c r="Q208" i="5"/>
  <c r="Q207" i="5"/>
  <c r="R206" i="5"/>
  <c r="P206" i="5"/>
  <c r="O206" i="5"/>
  <c r="D120" i="5" s="1"/>
  <c r="M206" i="5"/>
  <c r="V192" i="5"/>
  <c r="V191" i="5"/>
  <c r="V190" i="5"/>
  <c r="V189" i="5"/>
  <c r="V188" i="5"/>
  <c r="V187" i="5"/>
  <c r="V186" i="5"/>
  <c r="V185" i="5"/>
  <c r="V184" i="5"/>
  <c r="V183" i="5"/>
  <c r="V182" i="5"/>
  <c r="V181" i="5"/>
  <c r="V180" i="5"/>
  <c r="V179" i="5"/>
  <c r="V178" i="5"/>
  <c r="Y177" i="5"/>
  <c r="X177" i="5"/>
  <c r="W177" i="5"/>
  <c r="U177" i="5"/>
  <c r="T177" i="5"/>
  <c r="S177" i="5"/>
  <c r="R177" i="5"/>
  <c r="Q177" i="5"/>
  <c r="P177" i="5"/>
  <c r="D122" i="5" s="1"/>
  <c r="O177" i="5"/>
  <c r="N177" i="5"/>
  <c r="M177" i="5"/>
  <c r="AA160" i="5"/>
  <c r="AC160" i="5" s="1"/>
  <c r="G133" i="5"/>
  <c r="AB139" i="5"/>
  <c r="AA138" i="5"/>
  <c r="E127" i="5"/>
  <c r="C127" i="5"/>
  <c r="C123" i="5"/>
  <c r="E122" i="5"/>
  <c r="C122" i="5"/>
  <c r="E121" i="5"/>
  <c r="D121" i="5"/>
  <c r="C121" i="5"/>
  <c r="E120" i="5"/>
  <c r="C120" i="5"/>
  <c r="E119" i="5"/>
  <c r="C119" i="5"/>
  <c r="F114" i="5"/>
  <c r="E114" i="5"/>
  <c r="C114" i="5"/>
  <c r="E113" i="5"/>
  <c r="C113" i="5"/>
  <c r="C112" i="5"/>
  <c r="C111" i="5"/>
  <c r="AL114" i="5"/>
  <c r="AI114" i="5"/>
  <c r="AE114" i="5"/>
  <c r="AD114" i="5"/>
  <c r="AL113" i="5"/>
  <c r="AL112" i="5"/>
  <c r="AI112" i="5"/>
  <c r="AE112" i="5"/>
  <c r="AD112" i="5"/>
  <c r="AL111" i="5"/>
  <c r="AL110" i="5"/>
  <c r="AI110" i="5"/>
  <c r="AE110" i="5"/>
  <c r="AL109" i="5"/>
  <c r="H101" i="5"/>
  <c r="V101" i="5"/>
  <c r="W101" i="5" s="1"/>
  <c r="Z99" i="5"/>
  <c r="Z98" i="5"/>
  <c r="Z114" i="5" s="1"/>
  <c r="V97" i="5"/>
  <c r="W97" i="5" s="1"/>
  <c r="V89" i="5"/>
  <c r="W89" i="5" s="1"/>
  <c r="V88" i="5"/>
  <c r="W88" i="5" s="1"/>
  <c r="Z86" i="5"/>
  <c r="AB113" i="5" s="1"/>
  <c r="Z85" i="5"/>
  <c r="Z113" i="5" s="1"/>
  <c r="T84" i="5"/>
  <c r="Z87" i="5" s="1"/>
  <c r="AD113" i="5" s="1"/>
  <c r="AI71" i="5"/>
  <c r="AM112" i="5" s="1"/>
  <c r="V63" i="5"/>
  <c r="W63" i="5" s="1"/>
  <c r="Z60" i="5"/>
  <c r="AB111" i="5" s="1"/>
  <c r="F55" i="5"/>
  <c r="E53" i="5"/>
  <c r="M53" i="5"/>
  <c r="S98" i="5" s="1"/>
  <c r="M52" i="5"/>
  <c r="S33" i="5" s="1"/>
  <c r="M51" i="5"/>
  <c r="R32" i="5" s="1"/>
  <c r="V49" i="5"/>
  <c r="W49" i="5" s="1"/>
  <c r="Z48" i="5"/>
  <c r="AD110" i="5" s="1"/>
  <c r="H43" i="5"/>
  <c r="Z46" i="5"/>
  <c r="Z110" i="5" s="1"/>
  <c r="Z32" i="5"/>
  <c r="Z109" i="5" s="1"/>
  <c r="F25" i="5"/>
  <c r="G24" i="5"/>
  <c r="A22" i="5"/>
  <c r="X25" i="5"/>
  <c r="X24" i="5"/>
  <c r="AA23" i="5"/>
  <c r="S23" i="5"/>
  <c r="E18" i="5"/>
  <c r="H15" i="5"/>
  <c r="G15" i="5"/>
  <c r="F15" i="5"/>
  <c r="AK18" i="5"/>
  <c r="Y16" i="5"/>
  <c r="V50" i="5" s="1"/>
  <c r="W50" i="5" s="1"/>
  <c r="AB86" i="5"/>
  <c r="AC113" i="5" s="1"/>
  <c r="AV8" i="5"/>
  <c r="AV4" i="5" s="1"/>
  <c r="AU8" i="5"/>
  <c r="AU4" i="5" s="1"/>
  <c r="AV7" i="5"/>
  <c r="AU7" i="5"/>
  <c r="AV6" i="5"/>
  <c r="AU6" i="5"/>
  <c r="E52" i="5"/>
  <c r="AB34" i="5"/>
  <c r="AE109" i="5" s="1"/>
  <c r="T157" i="5" l="1"/>
  <c r="S161" i="5" s="1"/>
  <c r="D101" i="5"/>
  <c r="C33" i="2"/>
  <c r="C58" i="5"/>
  <c r="G92" i="5" s="1"/>
  <c r="H92" i="5" s="1"/>
  <c r="R31" i="5"/>
  <c r="T31" i="5" s="1"/>
  <c r="V31" i="5" s="1"/>
  <c r="AB36" i="5"/>
  <c r="AI109" i="5" s="1"/>
  <c r="Q206" i="5"/>
  <c r="D119" i="5" s="1"/>
  <c r="V177" i="5"/>
  <c r="E43" i="5"/>
  <c r="S32" i="5"/>
  <c r="T32" i="5" s="1"/>
  <c r="S46" i="5"/>
  <c r="AI97" i="5"/>
  <c r="AM114" i="5" s="1"/>
  <c r="C20" i="5"/>
  <c r="V35" i="5"/>
  <c r="W35" i="5" s="1"/>
  <c r="AB46" i="5"/>
  <c r="AA110" i="5" s="1"/>
  <c r="R46" i="5"/>
  <c r="T33" i="5"/>
  <c r="Z36" i="5" s="1"/>
  <c r="R58" i="5"/>
  <c r="T58" i="5" s="1"/>
  <c r="S59" i="5"/>
  <c r="T59" i="5" s="1"/>
  <c r="Z62" i="5" s="1"/>
  <c r="AF111" i="5" s="1"/>
  <c r="Z72" i="5"/>
  <c r="U117" i="5"/>
  <c r="F101" i="5"/>
  <c r="AA159" i="5"/>
  <c r="Z33" i="5"/>
  <c r="Z47" i="5"/>
  <c r="E45" i="5"/>
  <c r="R73" i="5"/>
  <c r="R60" i="5"/>
  <c r="AB60" i="5"/>
  <c r="Z73" i="5"/>
  <c r="AB33" i="5"/>
  <c r="AC109" i="5" s="1"/>
  <c r="AC108" i="5" s="1"/>
  <c r="D76" i="5" s="1"/>
  <c r="AB47" i="5"/>
  <c r="AC110" i="5" s="1"/>
  <c r="S99" i="5"/>
  <c r="R86" i="5"/>
  <c r="S73" i="5"/>
  <c r="S60" i="5"/>
  <c r="R99" i="5"/>
  <c r="S86" i="5"/>
  <c r="AB114" i="5"/>
  <c r="V102" i="5"/>
  <c r="W102" i="5" s="1"/>
  <c r="AB61" i="5"/>
  <c r="AE111" i="5" s="1"/>
  <c r="E46" i="5"/>
  <c r="AB87" i="5"/>
  <c r="AE113" i="5" s="1"/>
  <c r="AL108" i="5"/>
  <c r="Z108" i="5"/>
  <c r="B75" i="5" s="1"/>
  <c r="R108" i="5"/>
  <c r="AE108" i="5"/>
  <c r="D77" i="5" s="1"/>
  <c r="S108" i="5"/>
  <c r="AB99" i="5"/>
  <c r="AC114" i="5" s="1"/>
  <c r="AB73" i="5"/>
  <c r="AC112" i="5" s="1"/>
  <c r="S47" i="5"/>
  <c r="T47" i="5" s="1"/>
  <c r="Z59" i="5"/>
  <c r="AB138" i="5"/>
  <c r="T162" i="5" s="1"/>
  <c r="R85" i="5"/>
  <c r="AC86" i="5"/>
  <c r="R98" i="5"/>
  <c r="T98" i="5" s="1"/>
  <c r="S72" i="5"/>
  <c r="T72" i="5" s="1"/>
  <c r="Z75" i="5" s="1"/>
  <c r="V84" i="5"/>
  <c r="S85" i="5"/>
  <c r="AA158" i="5" l="1"/>
  <c r="D105" i="5"/>
  <c r="T46" i="5"/>
  <c r="Z49" i="5" s="1"/>
  <c r="AF110" i="5" s="1"/>
  <c r="AB71" i="5"/>
  <c r="Y112" i="5" s="1"/>
  <c r="AB97" i="5"/>
  <c r="Y114" i="5" s="1"/>
  <c r="AB58" i="5"/>
  <c r="Y111" i="5" s="1"/>
  <c r="AB45" i="5"/>
  <c r="Y110" i="5" s="1"/>
  <c r="AB31" i="5"/>
  <c r="Y109" i="5" s="1"/>
  <c r="Y108" i="5" s="1"/>
  <c r="D74" i="5" s="1"/>
  <c r="AB84" i="5"/>
  <c r="Y113" i="5" s="1"/>
  <c r="AB89" i="5"/>
  <c r="AI113" i="5" s="1"/>
  <c r="AI108" i="5" s="1"/>
  <c r="D79" i="5" s="1"/>
  <c r="AB63" i="5"/>
  <c r="AI111" i="5" s="1"/>
  <c r="W59" i="5"/>
  <c r="E48" i="5"/>
  <c r="V59" i="5"/>
  <c r="W86" i="5"/>
  <c r="AB98" i="5"/>
  <c r="AA114" i="5" s="1"/>
  <c r="AB59" i="5"/>
  <c r="AA111" i="5" s="1"/>
  <c r="T99" i="5"/>
  <c r="Z97" i="5" s="1"/>
  <c r="AC46" i="5"/>
  <c r="V33" i="5"/>
  <c r="AB72" i="5"/>
  <c r="AA112" i="5" s="1"/>
  <c r="E44" i="5"/>
  <c r="AB32" i="5"/>
  <c r="AC32" i="5" s="1"/>
  <c r="AB85" i="5"/>
  <c r="AC85" i="5" s="1"/>
  <c r="V32" i="5"/>
  <c r="W32" i="5"/>
  <c r="Z35" i="5"/>
  <c r="AF109" i="5" s="1"/>
  <c r="T73" i="5"/>
  <c r="Z76" i="5" s="1"/>
  <c r="AH112" i="5" s="1"/>
  <c r="T85" i="5"/>
  <c r="Z88" i="5" s="1"/>
  <c r="W33" i="5"/>
  <c r="T60" i="5"/>
  <c r="W60" i="5" s="1"/>
  <c r="W85" i="5"/>
  <c r="Z101" i="5"/>
  <c r="V98" i="5"/>
  <c r="V105" i="5" s="1"/>
  <c r="AB109" i="5"/>
  <c r="AB108" i="5" s="1"/>
  <c r="B76" i="5" s="1"/>
  <c r="F76" i="5" s="1"/>
  <c r="V36" i="5"/>
  <c r="W36" i="5" s="1"/>
  <c r="AC33" i="5"/>
  <c r="AF112" i="5"/>
  <c r="Z61" i="5"/>
  <c r="V58" i="5"/>
  <c r="AH109" i="5"/>
  <c r="AC36" i="5"/>
  <c r="V72" i="5"/>
  <c r="A71" i="5"/>
  <c r="AA24" i="5"/>
  <c r="Z50" i="5"/>
  <c r="AH110" i="5" s="1"/>
  <c r="AC73" i="5"/>
  <c r="V76" i="5"/>
  <c r="W76" i="5" s="1"/>
  <c r="AB112" i="5"/>
  <c r="Z34" i="5"/>
  <c r="W98" i="5"/>
  <c r="W105" i="5" s="1"/>
  <c r="W84" i="5"/>
  <c r="AC87" i="5"/>
  <c r="Z111" i="5"/>
  <c r="V62" i="5"/>
  <c r="W62" i="5" s="1"/>
  <c r="AC99" i="5"/>
  <c r="AC111" i="5"/>
  <c r="AC60" i="5"/>
  <c r="W72" i="5"/>
  <c r="D134" i="5"/>
  <c r="F133" i="5" s="1"/>
  <c r="AC159" i="5"/>
  <c r="AB75" i="5"/>
  <c r="AG112" i="5" s="1"/>
  <c r="AB88" i="5"/>
  <c r="AG113" i="5" s="1"/>
  <c r="AB101" i="5"/>
  <c r="AG114" i="5" s="1"/>
  <c r="AB49" i="5"/>
  <c r="AG110" i="5" s="1"/>
  <c r="AB35" i="5"/>
  <c r="AG109" i="5" s="1"/>
  <c r="AB62" i="5"/>
  <c r="E47" i="5"/>
  <c r="T86" i="5"/>
  <c r="AB110" i="5"/>
  <c r="AC47" i="5"/>
  <c r="Z112" i="5"/>
  <c r="V75" i="5"/>
  <c r="W75" i="5" s="1"/>
  <c r="AG108" i="5" l="1"/>
  <c r="D78" i="5" s="1"/>
  <c r="Z102" i="5"/>
  <c r="AH114" i="5" s="1"/>
  <c r="W46" i="5"/>
  <c r="W53" i="5" s="1"/>
  <c r="V46" i="5"/>
  <c r="V53" i="5" s="1"/>
  <c r="Z45" i="5" s="1"/>
  <c r="AH45" i="5" s="1"/>
  <c r="Z63" i="5"/>
  <c r="AC63" i="5" s="1"/>
  <c r="AA113" i="5"/>
  <c r="AA109" i="5"/>
  <c r="AA108" i="5" s="1"/>
  <c r="D75" i="5" s="1"/>
  <c r="F75" i="5" s="1"/>
  <c r="AC98" i="5"/>
  <c r="AC59" i="5"/>
  <c r="AA161" i="5"/>
  <c r="AC72" i="5"/>
  <c r="V85" i="5"/>
  <c r="W92" i="5"/>
  <c r="AI84" i="5" s="1"/>
  <c r="AM113" i="5" s="1"/>
  <c r="V60" i="5"/>
  <c r="V66" i="5" s="1"/>
  <c r="Z58" i="5" s="1"/>
  <c r="V79" i="5"/>
  <c r="Z71" i="5" s="1"/>
  <c r="AD111" i="5"/>
  <c r="AC61" i="5"/>
  <c r="Z89" i="5"/>
  <c r="V86" i="5"/>
  <c r="AG111" i="5"/>
  <c r="AC62" i="5"/>
  <c r="W79" i="5"/>
  <c r="AD109" i="5"/>
  <c r="AC34" i="5"/>
  <c r="AC49" i="5"/>
  <c r="AC52" i="5" s="1"/>
  <c r="AJ110" i="5" s="1"/>
  <c r="AC88" i="5"/>
  <c r="AF113" i="5"/>
  <c r="AF108" i="5" s="1"/>
  <c r="B78" i="5" s="1"/>
  <c r="F78" i="5" s="1"/>
  <c r="W31" i="5"/>
  <c r="W39" i="5" s="1"/>
  <c r="AI31" i="5" s="1"/>
  <c r="AM109" i="5" s="1"/>
  <c r="V39" i="5"/>
  <c r="Z31" i="5" s="1"/>
  <c r="AC75" i="5"/>
  <c r="X114" i="5"/>
  <c r="AH97" i="5"/>
  <c r="W58" i="5"/>
  <c r="W66" i="5" s="1"/>
  <c r="AI58" i="5" s="1"/>
  <c r="AM111" i="5" s="1"/>
  <c r="AC35" i="5"/>
  <c r="AF114" i="5"/>
  <c r="AC101" i="5"/>
  <c r="AD108" i="5" l="1"/>
  <c r="B77" i="5" s="1"/>
  <c r="F77" i="5" s="1"/>
  <c r="AH111" i="5"/>
  <c r="X110" i="5"/>
  <c r="AI45" i="5"/>
  <c r="AM110" i="5" s="1"/>
  <c r="AM108" i="5" s="1"/>
  <c r="P151" i="5" s="1"/>
  <c r="Z151" i="5" s="1"/>
  <c r="D130" i="5" s="1"/>
  <c r="D132" i="5" s="1"/>
  <c r="AC104" i="5"/>
  <c r="AJ114" i="5" s="1"/>
  <c r="AC78" i="5"/>
  <c r="AJ112" i="5" s="1"/>
  <c r="V92" i="5"/>
  <c r="Z84" i="5" s="1"/>
  <c r="X113" i="5" s="1"/>
  <c r="AC38" i="5"/>
  <c r="AJ109" i="5" s="1"/>
  <c r="AC65" i="5"/>
  <c r="AJ111" i="5" s="1"/>
  <c r="AN114" i="5"/>
  <c r="AK114" i="5"/>
  <c r="X111" i="5"/>
  <c r="AH58" i="5"/>
  <c r="AK110" i="5"/>
  <c r="AN110" i="5"/>
  <c r="AH113" i="5"/>
  <c r="AC89" i="5"/>
  <c r="AC91" i="5" s="1"/>
  <c r="AJ113" i="5" s="1"/>
  <c r="X109" i="5"/>
  <c r="AH31" i="5"/>
  <c r="X112" i="5"/>
  <c r="AH71" i="5"/>
  <c r="AH108" i="5" l="1"/>
  <c r="B79" i="5" s="1"/>
  <c r="F79" i="5" s="1"/>
  <c r="AJ108" i="5"/>
  <c r="P121" i="5" s="1"/>
  <c r="F88" i="5" s="1"/>
  <c r="X108" i="5"/>
  <c r="Y123" i="5" s="1"/>
  <c r="AD123" i="5" s="1"/>
  <c r="D103" i="5"/>
  <c r="F103" i="5" s="1"/>
  <c r="AH84" i="5"/>
  <c r="AK113" i="5" s="1"/>
  <c r="AN111" i="5"/>
  <c r="AK111" i="5"/>
  <c r="AK112" i="5"/>
  <c r="AN112" i="5"/>
  <c r="AN109" i="5"/>
  <c r="AK109" i="5"/>
  <c r="G80" i="5" l="1"/>
  <c r="AK108" i="5"/>
  <c r="D96" i="5"/>
  <c r="R121" i="5"/>
  <c r="D88" i="5" s="1"/>
  <c r="Y124" i="5"/>
  <c r="AD124" i="5" s="1"/>
  <c r="AF124" i="5" s="1"/>
  <c r="B74" i="5"/>
  <c r="F74" i="5" s="1"/>
  <c r="AF123" i="5"/>
  <c r="D89" i="5"/>
  <c r="AN113" i="5"/>
  <c r="AN108" i="5" s="1"/>
  <c r="P152" i="5" s="1"/>
  <c r="B81" i="5" l="1"/>
  <c r="B106" i="5"/>
  <c r="P155" i="5"/>
  <c r="D104" i="5"/>
  <c r="F104" i="5" s="1"/>
  <c r="D90" i="5"/>
  <c r="F90" i="5"/>
  <c r="AH124" i="5"/>
  <c r="D98" i="5" s="1"/>
  <c r="AH123" i="5"/>
  <c r="D97" i="5" s="1"/>
  <c r="F89" i="5"/>
  <c r="AC123" i="1" l="1"/>
  <c r="AC124" i="1"/>
  <c r="AC125" i="1"/>
  <c r="F114" i="1" l="1"/>
  <c r="Y128" i="1"/>
  <c r="AA129" i="1" s="1"/>
  <c r="AB125" i="1"/>
  <c r="AB129" i="1" l="1"/>
  <c r="T156" i="1" s="1"/>
  <c r="BC7" i="1"/>
  <c r="BC8" i="1" s="1"/>
  <c r="BC9" i="1"/>
  <c r="BC5" i="1"/>
  <c r="BC6" i="1" s="1"/>
  <c r="AI66" i="1" l="1"/>
  <c r="AM107" i="1" s="1"/>
  <c r="L131" i="1" l="1"/>
  <c r="P131" i="1"/>
  <c r="P130" i="1"/>
  <c r="M130" i="1"/>
  <c r="N130" i="1"/>
  <c r="O130" i="1"/>
  <c r="L130" i="1"/>
  <c r="W15" i="1"/>
  <c r="W16" i="1"/>
  <c r="W14" i="1"/>
  <c r="R16" i="1"/>
  <c r="R14" i="1"/>
  <c r="R15" i="1"/>
  <c r="AK13" i="1" l="1"/>
  <c r="AF18" i="1" l="1"/>
  <c r="AF9" i="1"/>
  <c r="AG9" i="1" s="1"/>
  <c r="AF8" i="1"/>
  <c r="AG8" i="1" s="1"/>
  <c r="AF7" i="1"/>
  <c r="AG7" i="1" s="1"/>
  <c r="AF6" i="1"/>
  <c r="AG6" i="1" s="1"/>
  <c r="AF5" i="1"/>
  <c r="AG5" i="1" s="1"/>
  <c r="Y9" i="1"/>
  <c r="Y7" i="1"/>
  <c r="Y5" i="1"/>
  <c r="BN21" i="1" l="1"/>
  <c r="AV9" i="1"/>
  <c r="AV8" i="1"/>
  <c r="AV7" i="1"/>
  <c r="AV6" i="1"/>
  <c r="AV5" i="1"/>
  <c r="AU9" i="1"/>
  <c r="AU8" i="1"/>
  <c r="AU7" i="1"/>
  <c r="AU6" i="1"/>
  <c r="AU5" i="1"/>
  <c r="AL4" i="1" l="1"/>
  <c r="F17" i="1"/>
  <c r="F18" i="1"/>
  <c r="BF17" i="1"/>
  <c r="BB17" i="1"/>
  <c r="AV17" i="1" l="1"/>
  <c r="AZ17" i="1"/>
  <c r="Z8" i="1" s="1"/>
  <c r="AT17" i="1"/>
  <c r="Z6" i="1" s="1"/>
  <c r="BD17" i="1"/>
  <c r="Z9" i="1" s="1"/>
  <c r="AX17" i="1"/>
  <c r="Z7" i="1" s="1"/>
  <c r="AR17" i="1"/>
  <c r="Z5" i="1" l="1"/>
  <c r="AM4" i="1"/>
  <c r="BH16" i="1"/>
  <c r="Y4" i="1"/>
  <c r="U15" i="1" s="1"/>
  <c r="Z4" i="1"/>
  <c r="G19" i="1" s="1"/>
  <c r="AA4" i="1"/>
  <c r="I18" i="1" s="1"/>
  <c r="AE4" i="1"/>
  <c r="E46" i="1" s="1"/>
  <c r="AF4" i="1"/>
  <c r="E47" i="1" s="1"/>
  <c r="AG4" i="1"/>
  <c r="E48" i="1" s="1"/>
  <c r="AH4" i="1"/>
  <c r="AI4" i="1"/>
  <c r="AJ4" i="1"/>
  <c r="AK4" i="1"/>
  <c r="E53" i="1" s="1"/>
  <c r="AN4" i="1"/>
  <c r="AO4" i="1"/>
  <c r="AP4" i="1"/>
  <c r="AR4" i="1"/>
  <c r="AS4" i="1"/>
  <c r="AT4" i="1"/>
  <c r="AU4" i="1"/>
  <c r="AV4" i="1"/>
  <c r="AX4" i="1"/>
  <c r="AY4" i="1"/>
  <c r="AZ4" i="1"/>
  <c r="BA4" i="1"/>
  <c r="BB4" i="1"/>
  <c r="BC4" i="1"/>
  <c r="T152" i="1" s="1"/>
  <c r="BD4" i="1"/>
  <c r="BE4" i="1"/>
  <c r="BF4" i="1"/>
  <c r="BG4" i="1"/>
  <c r="BH4" i="1"/>
  <c r="BI4" i="1"/>
  <c r="T4" i="1"/>
  <c r="U4" i="1"/>
  <c r="V4" i="1"/>
  <c r="W4" i="1"/>
  <c r="C15" i="1" s="1"/>
  <c r="S4" i="1"/>
  <c r="R4" i="1"/>
  <c r="D24" i="1" l="1"/>
  <c r="BO20" i="1"/>
  <c r="BO24" i="1"/>
  <c r="BO25" i="1"/>
  <c r="BO22" i="1"/>
  <c r="BO23" i="1"/>
  <c r="BO18" i="1"/>
  <c r="BO19" i="1"/>
  <c r="M50" i="1"/>
  <c r="M51" i="1"/>
  <c r="R80" i="1" s="1"/>
  <c r="M49" i="1"/>
  <c r="BO16" i="1" l="1"/>
  <c r="AB9" i="1" s="1"/>
  <c r="AB4" i="1" s="1"/>
  <c r="BO21" i="1"/>
  <c r="AW4" i="1" s="1"/>
  <c r="E119" i="1"/>
  <c r="AB53" i="1" l="1"/>
  <c r="E43" i="1"/>
  <c r="R112" i="1"/>
  <c r="G52" i="1" s="1"/>
  <c r="X7" i="1"/>
  <c r="BI27" i="1"/>
  <c r="BL30" i="1" s="1"/>
  <c r="O131" i="1" s="1"/>
  <c r="C14" i="1"/>
  <c r="X5" i="1"/>
  <c r="X9" i="1"/>
  <c r="AB66" i="1"/>
  <c r="AB92" i="1"/>
  <c r="AB40" i="1"/>
  <c r="AB79" i="1"/>
  <c r="AB26" i="1"/>
  <c r="G133" i="1"/>
  <c r="U112" i="1" l="1"/>
  <c r="X4" i="1"/>
  <c r="BJ30" i="1"/>
  <c r="M131" i="1" s="1"/>
  <c r="BK30" i="1"/>
  <c r="N131" i="1" s="1"/>
  <c r="V169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70" i="1"/>
  <c r="E127" i="1"/>
  <c r="C127" i="1"/>
  <c r="C123" i="1"/>
  <c r="E122" i="1"/>
  <c r="C122" i="1"/>
  <c r="E121" i="1"/>
  <c r="C121" i="1"/>
  <c r="E120" i="1"/>
  <c r="C120" i="1"/>
  <c r="C119" i="1"/>
  <c r="T157" i="1"/>
  <c r="N225" i="1"/>
  <c r="O225" i="1"/>
  <c r="P225" i="1"/>
  <c r="M225" i="1"/>
  <c r="O197" i="1"/>
  <c r="P197" i="1"/>
  <c r="M197" i="1"/>
  <c r="M168" i="1"/>
  <c r="N168" i="1"/>
  <c r="O168" i="1"/>
  <c r="P168" i="1"/>
  <c r="D122" i="1" s="1"/>
  <c r="Q168" i="1"/>
  <c r="R168" i="1"/>
  <c r="S168" i="1"/>
  <c r="T168" i="1"/>
  <c r="U168" i="1"/>
  <c r="V168" i="1"/>
  <c r="W168" i="1"/>
  <c r="X168" i="1"/>
  <c r="Y168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66" i="1"/>
  <c r="P259" i="1"/>
  <c r="P258" i="1"/>
  <c r="C114" i="1"/>
  <c r="C113" i="1"/>
  <c r="E114" i="1"/>
  <c r="E113" i="1"/>
  <c r="C112" i="1"/>
  <c r="C111" i="1"/>
  <c r="AB130" i="1"/>
  <c r="N133" i="1" l="1"/>
  <c r="D120" i="1"/>
  <c r="D121" i="1"/>
  <c r="Q213" i="1"/>
  <c r="Q212" i="1"/>
  <c r="R211" i="1"/>
  <c r="Q211" i="1"/>
  <c r="R209" i="1"/>
  <c r="Q209" i="1"/>
  <c r="Q208" i="1"/>
  <c r="R207" i="1"/>
  <c r="R197" i="1" s="1"/>
  <c r="T158" i="1" s="1"/>
  <c r="Q207" i="1"/>
  <c r="Q206" i="1"/>
  <c r="Q205" i="1"/>
  <c r="Q204" i="1"/>
  <c r="Q202" i="1"/>
  <c r="Q201" i="1"/>
  <c r="Q200" i="1"/>
  <c r="Q199" i="1"/>
  <c r="Q198" i="1"/>
  <c r="Q197" i="1" l="1"/>
  <c r="D119" i="1" s="1"/>
  <c r="AA154" i="1"/>
  <c r="AC154" i="1" s="1"/>
  <c r="S18" i="1" l="1"/>
  <c r="H101" i="1"/>
  <c r="Z94" i="1" l="1"/>
  <c r="V97" i="1" s="1"/>
  <c r="W97" i="1" s="1"/>
  <c r="AA18" i="1" l="1"/>
  <c r="S13" i="1"/>
  <c r="T151" i="1" s="1"/>
  <c r="S154" i="1" s="1"/>
  <c r="N134" i="1" l="1"/>
  <c r="AI92" i="1"/>
  <c r="AM109" i="1" s="1"/>
  <c r="AC4" i="1"/>
  <c r="E44" i="1" s="1"/>
  <c r="AD4" i="1"/>
  <c r="E45" i="1" s="1"/>
  <c r="AA153" i="1"/>
  <c r="F101" i="1"/>
  <c r="D134" i="1" l="1"/>
  <c r="F133" i="1" s="1"/>
  <c r="AC153" i="1"/>
  <c r="W13" i="1"/>
  <c r="C83" i="1" s="1"/>
  <c r="X20" i="1" l="1"/>
  <c r="X19" i="1"/>
  <c r="H43" i="1"/>
  <c r="AI105" i="1"/>
  <c r="AD109" i="1"/>
  <c r="AD107" i="1"/>
  <c r="AE105" i="1"/>
  <c r="S103" i="1" l="1"/>
  <c r="R103" i="1"/>
  <c r="AA19" i="1" l="1"/>
  <c r="A71" i="1"/>
  <c r="Z93" i="1"/>
  <c r="V96" i="1"/>
  <c r="W96" i="1" s="1"/>
  <c r="S94" i="1"/>
  <c r="R94" i="1"/>
  <c r="S93" i="1"/>
  <c r="R93" i="1"/>
  <c r="V92" i="1"/>
  <c r="W92" i="1" s="1"/>
  <c r="Z81" i="1"/>
  <c r="Z80" i="1"/>
  <c r="V84" i="1"/>
  <c r="W84" i="1" s="1"/>
  <c r="V83" i="1"/>
  <c r="W83" i="1" s="1"/>
  <c r="S81" i="1"/>
  <c r="R81" i="1"/>
  <c r="S80" i="1"/>
  <c r="T79" i="1"/>
  <c r="AE109" i="1"/>
  <c r="S68" i="1"/>
  <c r="R68" i="1"/>
  <c r="S67" i="1"/>
  <c r="T67" i="1" s="1"/>
  <c r="AB108" i="1" l="1"/>
  <c r="Z109" i="1"/>
  <c r="AL109" i="1"/>
  <c r="Z108" i="1"/>
  <c r="AB109" i="1"/>
  <c r="Z82" i="1"/>
  <c r="AI107" i="1"/>
  <c r="AE107" i="1"/>
  <c r="Z55" i="1"/>
  <c r="V58" i="1"/>
  <c r="W58" i="1" s="1"/>
  <c r="S55" i="1"/>
  <c r="S54" i="1"/>
  <c r="T54" i="1" s="1"/>
  <c r="R55" i="1"/>
  <c r="R53" i="1"/>
  <c r="AB106" i="1" l="1"/>
  <c r="AD108" i="1"/>
  <c r="Z41" i="1"/>
  <c r="V44" i="1"/>
  <c r="W44" i="1" s="1"/>
  <c r="S42" i="1"/>
  <c r="S41" i="1"/>
  <c r="R41" i="1"/>
  <c r="R27" i="1"/>
  <c r="R26" i="1"/>
  <c r="AL105" i="1" l="1"/>
  <c r="Z105" i="1"/>
  <c r="Z43" i="1"/>
  <c r="AD105" i="1" s="1"/>
  <c r="V15" i="1"/>
  <c r="V79" i="1" l="1"/>
  <c r="W79" i="1" s="1"/>
  <c r="Y13" i="1"/>
  <c r="V45" i="1" s="1"/>
  <c r="W45" i="1" s="1"/>
  <c r="Z27" i="1"/>
  <c r="AQ4" i="1"/>
  <c r="S28" i="1"/>
  <c r="S27" i="1"/>
  <c r="E52" i="1"/>
  <c r="F55" i="1"/>
  <c r="U14" i="1" l="1"/>
  <c r="Z42" i="1"/>
  <c r="Z68" i="1"/>
  <c r="V71" i="1" s="1"/>
  <c r="W71" i="1" s="1"/>
  <c r="Y107" i="1"/>
  <c r="AB28" i="1"/>
  <c r="AC104" i="1" s="1"/>
  <c r="T80" i="1"/>
  <c r="Z83" i="1" s="1"/>
  <c r="T94" i="1"/>
  <c r="Z92" i="1" s="1"/>
  <c r="T28" i="1"/>
  <c r="T68" i="1"/>
  <c r="Z71" i="1" s="1"/>
  <c r="AH107" i="1" s="1"/>
  <c r="T27" i="1"/>
  <c r="T93" i="1"/>
  <c r="Z96" i="1" s="1"/>
  <c r="T42" i="1"/>
  <c r="T26" i="1"/>
  <c r="T81" i="1"/>
  <c r="Z84" i="1" s="1"/>
  <c r="AH108" i="1" s="1"/>
  <c r="T55" i="1"/>
  <c r="Z58" i="1" s="1"/>
  <c r="T41" i="1"/>
  <c r="AB82" i="1"/>
  <c r="Z104" i="1"/>
  <c r="V30" i="1"/>
  <c r="W30" i="1" s="1"/>
  <c r="AB93" i="1"/>
  <c r="N135" i="1"/>
  <c r="AB30" i="1"/>
  <c r="AG104" i="1" s="1"/>
  <c r="Z28" i="1"/>
  <c r="Z67" i="1"/>
  <c r="V70" i="1" s="1"/>
  <c r="W70" i="1" s="1"/>
  <c r="Z70" i="1"/>
  <c r="Z54" i="1"/>
  <c r="V57" i="1" s="1"/>
  <c r="W57" i="1" s="1"/>
  <c r="T53" i="1"/>
  <c r="Z57" i="1"/>
  <c r="C7" i="2"/>
  <c r="C4" i="2"/>
  <c r="V55" i="1" l="1"/>
  <c r="W55" i="1"/>
  <c r="D101" i="1"/>
  <c r="Z45" i="1"/>
  <c r="AH105" i="1" s="1"/>
  <c r="Z97" i="1"/>
  <c r="AH109" i="1" s="1"/>
  <c r="AH92" i="1"/>
  <c r="Z44" i="1"/>
  <c r="AF105" i="1" s="1"/>
  <c r="Z31" i="1"/>
  <c r="AH104" i="1" s="1"/>
  <c r="AH103" i="1" s="1"/>
  <c r="B79" i="1" s="1"/>
  <c r="AF108" i="1"/>
  <c r="AF109" i="1"/>
  <c r="AL107" i="1"/>
  <c r="Y109" i="1"/>
  <c r="Y105" i="1"/>
  <c r="Y104" i="1"/>
  <c r="Y106" i="1"/>
  <c r="Y108" i="1"/>
  <c r="AB81" i="1"/>
  <c r="AC108" i="1" s="1"/>
  <c r="AB29" i="1"/>
  <c r="AE104" i="1" s="1"/>
  <c r="AB42" i="1"/>
  <c r="AC105" i="1" s="1"/>
  <c r="AB94" i="1"/>
  <c r="AC109" i="1" s="1"/>
  <c r="AB68" i="1"/>
  <c r="AC107" i="1" s="1"/>
  <c r="V16" i="1"/>
  <c r="AB55" i="1"/>
  <c r="AC106" i="1" s="1"/>
  <c r="AB56" i="1"/>
  <c r="AE106" i="1" s="1"/>
  <c r="AB107" i="1"/>
  <c r="V14" i="1"/>
  <c r="AL104" i="1"/>
  <c r="AB54" i="1"/>
  <c r="AC54" i="1" s="1"/>
  <c r="AL108" i="1"/>
  <c r="AH106" i="1"/>
  <c r="Z106" i="1"/>
  <c r="AF106" i="1"/>
  <c r="AF107" i="1"/>
  <c r="Z107" i="1"/>
  <c r="AB96" i="1"/>
  <c r="AC96" i="1" s="1"/>
  <c r="AB27" i="1"/>
  <c r="AA104" i="1" s="1"/>
  <c r="AB83" i="1"/>
  <c r="AG108" i="1" s="1"/>
  <c r="AB67" i="1"/>
  <c r="AA107" i="1" s="1"/>
  <c r="AB80" i="1"/>
  <c r="AA108" i="1" s="1"/>
  <c r="AB41" i="1"/>
  <c r="AA105" i="1" s="1"/>
  <c r="AB70" i="1"/>
  <c r="AC70" i="1" s="1"/>
  <c r="AB104" i="1"/>
  <c r="V31" i="1"/>
  <c r="W31" i="1" s="1"/>
  <c r="X109" i="1"/>
  <c r="AC28" i="1"/>
  <c r="AB44" i="1"/>
  <c r="AB57" i="1"/>
  <c r="AC57" i="1" s="1"/>
  <c r="AB105" i="1"/>
  <c r="Z103" i="1"/>
  <c r="Z56" i="1"/>
  <c r="V53" i="1"/>
  <c r="W53" i="1" s="1"/>
  <c r="AB31" i="1"/>
  <c r="AI104" i="1" s="1"/>
  <c r="AI109" i="1"/>
  <c r="AB84" i="1"/>
  <c r="AB58" i="1"/>
  <c r="AC93" i="1"/>
  <c r="AA109" i="1"/>
  <c r="AE108" i="1"/>
  <c r="AC82" i="1"/>
  <c r="Z29" i="1"/>
  <c r="Z30" i="1"/>
  <c r="V26" i="1"/>
  <c r="W26" i="1" s="1"/>
  <c r="J9" i="2"/>
  <c r="C5" i="2"/>
  <c r="J11" i="2" s="1"/>
  <c r="AK109" i="1" l="1"/>
  <c r="AN109" i="1"/>
  <c r="AC81" i="1"/>
  <c r="AC68" i="1"/>
  <c r="AC42" i="1"/>
  <c r="Y103" i="1"/>
  <c r="D74" i="1" s="1"/>
  <c r="AE103" i="1"/>
  <c r="D77" i="1" s="1"/>
  <c r="AA106" i="1"/>
  <c r="V13" i="1"/>
  <c r="AC94" i="1"/>
  <c r="AC99" i="1" s="1"/>
  <c r="AJ109" i="1" s="1"/>
  <c r="AC83" i="1"/>
  <c r="AC80" i="1"/>
  <c r="AC55" i="1"/>
  <c r="AC41" i="1"/>
  <c r="AG109" i="1"/>
  <c r="AG106" i="1"/>
  <c r="AC27" i="1"/>
  <c r="AB103" i="1"/>
  <c r="B76" i="1" s="1"/>
  <c r="AG105" i="1"/>
  <c r="AC44" i="1"/>
  <c r="B75" i="1"/>
  <c r="AC103" i="1"/>
  <c r="D76" i="1" s="1"/>
  <c r="AA103" i="1"/>
  <c r="D75" i="1" s="1"/>
  <c r="AL106" i="1"/>
  <c r="AL103" i="1" s="1"/>
  <c r="AD106" i="1"/>
  <c r="AG107" i="1"/>
  <c r="AC67" i="1"/>
  <c r="AC31" i="1"/>
  <c r="AF104" i="1"/>
  <c r="AF103" i="1" s="1"/>
  <c r="B78" i="1" s="1"/>
  <c r="AD104" i="1"/>
  <c r="AC56" i="1"/>
  <c r="AI106" i="1"/>
  <c r="AC58" i="1"/>
  <c r="AI108" i="1"/>
  <c r="AC84" i="1"/>
  <c r="AC30" i="1"/>
  <c r="AC29" i="1"/>
  <c r="J8" i="2"/>
  <c r="J10" i="2"/>
  <c r="AC73" i="1" l="1"/>
  <c r="AJ107" i="1" s="1"/>
  <c r="AI103" i="1"/>
  <c r="D79" i="1" s="1"/>
  <c r="F79" i="1" s="1"/>
  <c r="AG103" i="1"/>
  <c r="D78" i="1" s="1"/>
  <c r="F78" i="1" s="1"/>
  <c r="AC86" i="1"/>
  <c r="AJ108" i="1" s="1"/>
  <c r="AC47" i="1"/>
  <c r="AJ105" i="1" s="1"/>
  <c r="AD103" i="1"/>
  <c r="B77" i="1" s="1"/>
  <c r="F77" i="1" s="1"/>
  <c r="F76" i="1"/>
  <c r="F75" i="1"/>
  <c r="AC60" i="1"/>
  <c r="AJ106" i="1" s="1"/>
  <c r="AC33" i="1"/>
  <c r="AJ104" i="1" s="1"/>
  <c r="AJ103" i="1" s="1"/>
  <c r="A22" i="1"/>
  <c r="U16" i="1"/>
  <c r="C20" i="1"/>
  <c r="H18" i="1"/>
  <c r="C11" i="1"/>
  <c r="G24" i="1"/>
  <c r="F25" i="1"/>
  <c r="E18" i="1"/>
  <c r="P116" i="1" l="1"/>
  <c r="U13" i="1"/>
  <c r="V93" i="1" l="1"/>
  <c r="V100" i="1" s="1"/>
  <c r="V80" i="1"/>
  <c r="V67" i="1"/>
  <c r="V74" i="1" s="1"/>
  <c r="Z66" i="1" s="1"/>
  <c r="W80" i="1"/>
  <c r="W93" i="1"/>
  <c r="W100" i="1" s="1"/>
  <c r="W67" i="1"/>
  <c r="W74" i="1" s="1"/>
  <c r="V81" i="1"/>
  <c r="W81" i="1"/>
  <c r="W54" i="1"/>
  <c r="W61" i="1" s="1"/>
  <c r="AI53" i="1" s="1"/>
  <c r="AM106" i="1" s="1"/>
  <c r="V54" i="1"/>
  <c r="V61" i="1" s="1"/>
  <c r="Z53" i="1" s="1"/>
  <c r="V27" i="1"/>
  <c r="W41" i="1"/>
  <c r="W48" i="1" s="1"/>
  <c r="W28" i="1"/>
  <c r="V41" i="1"/>
  <c r="V48" i="1" s="1"/>
  <c r="V28" i="1"/>
  <c r="W27" i="1"/>
  <c r="F88" i="1"/>
  <c r="D96" i="1"/>
  <c r="R116" i="1"/>
  <c r="D88" i="1" s="1"/>
  <c r="G80" i="1"/>
  <c r="C6" i="2"/>
  <c r="H6" i="2" s="1"/>
  <c r="N11" i="2" s="1"/>
  <c r="W34" i="1" l="1"/>
  <c r="AI26" i="1" s="1"/>
  <c r="AM104" i="1" s="1"/>
  <c r="AI40" i="1"/>
  <c r="AM105" i="1" s="1"/>
  <c r="W87" i="1"/>
  <c r="AI79" i="1" s="1"/>
  <c r="AM108" i="1" s="1"/>
  <c r="Z40" i="1"/>
  <c r="AH40" i="1" s="1"/>
  <c r="AN105" i="1" s="1"/>
  <c r="X107" i="1"/>
  <c r="AH66" i="1"/>
  <c r="AN107" i="1" s="1"/>
  <c r="V87" i="1"/>
  <c r="Z79" i="1" s="1"/>
  <c r="AH53" i="1"/>
  <c r="AN106" i="1" s="1"/>
  <c r="X106" i="1"/>
  <c r="V34" i="1"/>
  <c r="Z26" i="1" s="1"/>
  <c r="I10" i="2"/>
  <c r="I11" i="2" s="1"/>
  <c r="I4" i="2"/>
  <c r="I8" i="2"/>
  <c r="I9" i="2" s="1"/>
  <c r="X105" i="1" l="1"/>
  <c r="AK105" i="1"/>
  <c r="AK107" i="1"/>
  <c r="AK106" i="1"/>
  <c r="AH79" i="1"/>
  <c r="AN108" i="1" s="1"/>
  <c r="X108" i="1"/>
  <c r="C11" i="2"/>
  <c r="C9" i="2"/>
  <c r="J5" i="2"/>
  <c r="I14" i="2"/>
  <c r="H8" i="2"/>
  <c r="H10" i="2"/>
  <c r="C10" i="2" s="1"/>
  <c r="A18" i="2"/>
  <c r="A61" i="6" s="1"/>
  <c r="C18" i="2"/>
  <c r="C61" i="6" s="1"/>
  <c r="D18" i="2"/>
  <c r="D61" i="6" s="1"/>
  <c r="A17" i="2"/>
  <c r="A60" i="6" s="1"/>
  <c r="I5" i="2"/>
  <c r="L12" i="2" s="1"/>
  <c r="M12" i="2" s="1"/>
  <c r="A60" i="1" l="1"/>
  <c r="D61" i="1"/>
  <c r="C61" i="1"/>
  <c r="A61" i="1"/>
  <c r="AK108" i="1"/>
  <c r="X104" i="1"/>
  <c r="X103" i="1" s="1"/>
  <c r="AH26" i="1"/>
  <c r="AM103" i="1"/>
  <c r="P145" i="1" s="1"/>
  <c r="L11" i="2"/>
  <c r="J12" i="2"/>
  <c r="C8" i="2"/>
  <c r="H12" i="2"/>
  <c r="AK104" i="1" l="1"/>
  <c r="AK103" i="1" s="1"/>
  <c r="AN104" i="1"/>
  <c r="AN103" i="1" s="1"/>
  <c r="P146" i="1" s="1"/>
  <c r="D103" i="1"/>
  <c r="F103" i="1" s="1"/>
  <c r="B74" i="1"/>
  <c r="B81" i="1" s="1"/>
  <c r="C12" i="2"/>
  <c r="C13" i="2"/>
  <c r="J14" i="2" s="1"/>
  <c r="C14" i="2" s="1"/>
  <c r="M11" i="2"/>
  <c r="Z145" i="1" l="1"/>
  <c r="D130" i="1" s="1"/>
  <c r="D132" i="1" s="1"/>
  <c r="P119" i="1"/>
  <c r="R119" i="1" s="1"/>
  <c r="V119" i="1" s="1"/>
  <c r="D97" i="1" s="1"/>
  <c r="P122" i="1"/>
  <c r="R122" i="1" s="1"/>
  <c r="V122" i="1" s="1"/>
  <c r="D98" i="1" s="1"/>
  <c r="F74" i="1"/>
  <c r="C15" i="2"/>
  <c r="C58" i="1"/>
  <c r="G92" i="1" s="1"/>
  <c r="H92" i="1" s="1"/>
  <c r="D104" i="1" l="1"/>
  <c r="F104" i="1" s="1"/>
  <c r="B106" i="1"/>
  <c r="P149" i="1"/>
  <c r="T122" i="1"/>
  <c r="D90" i="1" s="1"/>
  <c r="F90" i="1"/>
  <c r="F89" i="1"/>
  <c r="T119" i="1"/>
  <c r="D89" i="1" s="1"/>
  <c r="S160" i="1" l="1"/>
  <c r="R161" i="1" s="1"/>
  <c r="D135" i="1" s="1"/>
  <c r="AC152" i="1"/>
  <c r="AC155" i="1" s="1"/>
  <c r="Z146" i="1" s="1"/>
  <c r="D131" i="1" s="1"/>
  <c r="D133" i="1" s="1"/>
  <c r="D105" i="1"/>
  <c r="AA152" i="1"/>
  <c r="AA155" i="1" s="1"/>
  <c r="S166" i="5" l="1"/>
  <c r="R167" i="5" s="1"/>
  <c r="D135" i="5" s="1"/>
  <c r="AC158" i="5"/>
  <c r="AC161" i="5" s="1"/>
  <c r="Z152" i="5" s="1"/>
  <c r="D131" i="5" s="1"/>
  <c r="D133" i="5" s="1"/>
</calcChain>
</file>

<file path=xl/sharedStrings.xml><?xml version="1.0" encoding="utf-8"?>
<sst xmlns="http://schemas.openxmlformats.org/spreadsheetml/2006/main" count="1970" uniqueCount="460">
  <si>
    <t>Sizing &amp; selection</t>
  </si>
  <si>
    <t>Customer</t>
  </si>
  <si>
    <t>Project</t>
  </si>
  <si>
    <t>Date</t>
  </si>
  <si>
    <t>Ref:</t>
  </si>
  <si>
    <t>xxx</t>
  </si>
  <si>
    <t>Linear drive unit:</t>
  </si>
  <si>
    <t>Size</t>
  </si>
  <si>
    <t>Guidings</t>
  </si>
  <si>
    <t>Saddle</t>
  </si>
  <si>
    <t>mm</t>
  </si>
  <si>
    <t>Repeatability</t>
  </si>
  <si>
    <t>Weight of linear drive unit/-s</t>
  </si>
  <si>
    <t>kg</t>
  </si>
  <si>
    <t>Mounting direction</t>
  </si>
  <si>
    <t>Stroke</t>
  </si>
  <si>
    <t>Total length</t>
  </si>
  <si>
    <t>Move per rev</t>
  </si>
  <si>
    <t>Horizontal</t>
  </si>
  <si>
    <t>Vertical</t>
  </si>
  <si>
    <t>Fx =</t>
  </si>
  <si>
    <t>N</t>
  </si>
  <si>
    <t>Fy =</t>
  </si>
  <si>
    <t>Fz =</t>
  </si>
  <si>
    <t>Mx =</t>
  </si>
  <si>
    <t>My =</t>
  </si>
  <si>
    <t>Mz =</t>
  </si>
  <si>
    <t>Nm</t>
  </si>
  <si>
    <t>Total mass to move</t>
  </si>
  <si>
    <t>Lx =</t>
  </si>
  <si>
    <t>Ly =</t>
  </si>
  <si>
    <t>Lz =</t>
  </si>
  <si>
    <t>Speed</t>
  </si>
  <si>
    <t>Acceleration</t>
  </si>
  <si>
    <t>m/s</t>
  </si>
  <si>
    <t>m/s²</t>
  </si>
  <si>
    <t>Customized profile</t>
  </si>
  <si>
    <r>
      <t>m/s</t>
    </r>
    <r>
      <rPr>
        <vertAlign val="superscript"/>
        <sz val="10"/>
        <rFont val="Arial"/>
        <family val="2"/>
      </rPr>
      <t>2</t>
    </r>
  </si>
  <si>
    <t>Deceleration</t>
  </si>
  <si>
    <t>Distance (stroke)</t>
  </si>
  <si>
    <t>Distance for acc.</t>
  </si>
  <si>
    <t>Time for acc.</t>
  </si>
  <si>
    <t>s</t>
  </si>
  <si>
    <t>Distance for decel.</t>
  </si>
  <si>
    <t>Time for decel.</t>
  </si>
  <si>
    <t>Dist. at const speed</t>
  </si>
  <si>
    <t>Time at const speed</t>
  </si>
  <si>
    <t>Cycle time</t>
  </si>
  <si>
    <t>Average speed</t>
  </si>
  <si>
    <t>Move profile over</t>
  </si>
  <si>
    <t>mm stroke</t>
  </si>
  <si>
    <t>Time to move one direction</t>
  </si>
  <si>
    <t>sec</t>
  </si>
  <si>
    <t>max stroke</t>
  </si>
  <si>
    <t>Fy</t>
  </si>
  <si>
    <t>Fz</t>
  </si>
  <si>
    <t>Mx</t>
  </si>
  <si>
    <t>My</t>
  </si>
  <si>
    <t>Mz</t>
  </si>
  <si>
    <t>Frd</t>
  </si>
  <si>
    <t>Mta</t>
  </si>
  <si>
    <t>Acc</t>
  </si>
  <si>
    <t>Fx max</t>
  </si>
  <si>
    <t>preload</t>
  </si>
  <si>
    <t>Lx</t>
  </si>
  <si>
    <t>Ly</t>
  </si>
  <si>
    <t>Load torques caused by off center load</t>
  </si>
  <si>
    <t>Static</t>
  </si>
  <si>
    <t>Dynamic</t>
  </si>
  <si>
    <t>Totally</t>
  </si>
  <si>
    <t>Friction factor =</t>
  </si>
  <si>
    <t>Friction</t>
  </si>
  <si>
    <t>Max</t>
  </si>
  <si>
    <t>allowed</t>
  </si>
  <si>
    <t>% of max</t>
  </si>
  <si>
    <t>Will this mass be carried by the carriage/carriages?</t>
  </si>
  <si>
    <t>Yes</t>
  </si>
  <si>
    <t>No</t>
  </si>
  <si>
    <t>Result:</t>
  </si>
  <si>
    <t>Allowed</t>
  </si>
  <si>
    <t>Weight</t>
  </si>
  <si>
    <t>0 stroke</t>
  </si>
  <si>
    <t>100 mm</t>
  </si>
  <si>
    <t>Anser att Mz blir ett kraftpar som ökar Fx</t>
  </si>
  <si>
    <t>Anser att Mx blir ett kraftpar som ökar Fz</t>
  </si>
  <si>
    <t>Horizontal mounting, single unit, carriage sideway</t>
  </si>
  <si>
    <t>Horizontal mounting, two units, carriages sideway</t>
  </si>
  <si>
    <t>Horizontal mounting, 2 units, carriage at top</t>
  </si>
  <si>
    <t>Vertical mounting, single unit</t>
  </si>
  <si>
    <t>Vertical  mounting, two units</t>
  </si>
  <si>
    <t>Horizontal mounting, single unit, carriage at top</t>
  </si>
  <si>
    <t>Fx</t>
  </si>
  <si>
    <t>Total</t>
  </si>
  <si>
    <t>units</t>
  </si>
  <si>
    <t>Configuration</t>
  </si>
  <si>
    <t>one single unit</t>
  </si>
  <si>
    <t>two units in parallel</t>
  </si>
  <si>
    <t>Number of units</t>
  </si>
  <si>
    <t>Drive mechanism</t>
  </si>
  <si>
    <t xml:space="preserve">Drive </t>
  </si>
  <si>
    <t>h</t>
  </si>
  <si>
    <t>Calculation of lifetime</t>
  </si>
  <si>
    <t>km</t>
  </si>
  <si>
    <t>Average load factor fm</t>
  </si>
  <si>
    <t>number of cycles per minute</t>
  </si>
  <si>
    <t>Working hours per day</t>
  </si>
  <si>
    <t>Working days per year</t>
  </si>
  <si>
    <t>Duty cycle</t>
  </si>
  <si>
    <t xml:space="preserve">Lifetime </t>
  </si>
  <si>
    <t>Years</t>
  </si>
  <si>
    <t>Idle torque Nm</t>
  </si>
  <si>
    <t>Single unit, single carriage</t>
  </si>
  <si>
    <t>additional carriage</t>
  </si>
  <si>
    <r>
      <t>m x ( m/min / 2</t>
    </r>
    <r>
      <rPr>
        <sz val="11"/>
        <color theme="1"/>
        <rFont val="Calibri"/>
        <family val="2"/>
      </rPr>
      <t>π</t>
    </r>
    <r>
      <rPr>
        <sz val="12.1"/>
        <color theme="1"/>
        <rFont val="Arial"/>
        <family val="2"/>
      </rPr>
      <t xml:space="preserve"> / rpm ) ^2 =</t>
    </r>
  </si>
  <si>
    <t>kg m²</t>
  </si>
  <si>
    <t>Total Fx  at const speed</t>
  </si>
  <si>
    <t>Total Fx during acc</t>
  </si>
  <si>
    <t>Drive torque during constant speed</t>
  </si>
  <si>
    <t>Drive torque during acceleration</t>
  </si>
  <si>
    <t>Nm and</t>
  </si>
  <si>
    <t>rpm at</t>
  </si>
  <si>
    <r>
      <t xml:space="preserve">Idle torque at </t>
    </r>
    <r>
      <rPr>
        <b/>
        <sz val="11"/>
        <color theme="1"/>
        <rFont val="Arial"/>
        <family val="2"/>
      </rPr>
      <t>no</t>
    </r>
    <r>
      <rPr>
        <sz val="11"/>
        <color theme="1"/>
        <rFont val="Arial"/>
        <family val="2"/>
      </rPr>
      <t xml:space="preserve"> load</t>
    </r>
  </si>
  <si>
    <t>Drive torque at constant speed</t>
  </si>
  <si>
    <t>Drive torque during acc</t>
  </si>
  <si>
    <t>W</t>
  </si>
  <si>
    <t>Gear / Motor</t>
  </si>
  <si>
    <t>Inertia</t>
  </si>
  <si>
    <t>kgm²</t>
  </si>
  <si>
    <t>Top speed</t>
  </si>
  <si>
    <t>rpm</t>
  </si>
  <si>
    <t>Acceleration time</t>
  </si>
  <si>
    <t>nom rpm</t>
  </si>
  <si>
    <t>kW</t>
  </si>
  <si>
    <t>nom Nm</t>
  </si>
  <si>
    <t>Nm at max rpm</t>
  </si>
  <si>
    <t>Peak Nm</t>
  </si>
  <si>
    <t>Brake inertia</t>
  </si>
  <si>
    <t>Nm/A</t>
  </si>
  <si>
    <t>mVmin</t>
  </si>
  <si>
    <t>Ohm</t>
  </si>
  <si>
    <t>AKM31C</t>
  </si>
  <si>
    <t>AKM32C</t>
  </si>
  <si>
    <t>AKM33E</t>
  </si>
  <si>
    <t>AKM41C</t>
  </si>
  <si>
    <t>AKM42E</t>
  </si>
  <si>
    <t>AKM43E</t>
  </si>
  <si>
    <t>AKM44G</t>
  </si>
  <si>
    <t>AKM51E</t>
  </si>
  <si>
    <t>AKM52G</t>
  </si>
  <si>
    <t>AKM53K</t>
  </si>
  <si>
    <t>AKM54K</t>
  </si>
  <si>
    <t>AKM62K</t>
  </si>
  <si>
    <t>AKM63K</t>
  </si>
  <si>
    <t>AKM64L</t>
  </si>
  <si>
    <t>AKM65M</t>
  </si>
  <si>
    <t>Kgm2</t>
  </si>
  <si>
    <t>IEC 63  3000 rpm  0,25 kW</t>
  </si>
  <si>
    <t>IEC 63  with brake 3000 rpm  0,25 kW</t>
  </si>
  <si>
    <t>IEC 63  1500 rpm  0,18 kW</t>
  </si>
  <si>
    <t>IEC 63  with brake 1500 rpm  0,18 kW</t>
  </si>
  <si>
    <t>IEC71 3000 rpm 0,55 kW</t>
  </si>
  <si>
    <t>IEC71 with brake 3000 rpm 0,55 kW</t>
  </si>
  <si>
    <t>IEC71 1500 rpm 0,37 kW</t>
  </si>
  <si>
    <t>IEC71 with brake 1500 rpm 0,37 kW</t>
  </si>
  <si>
    <t>IEC80 3000 rpm 1,1 kW</t>
  </si>
  <si>
    <t>IEC80 with brake 3000 rpm 1,1 kW</t>
  </si>
  <si>
    <t>IEC80 1500 rpm 0,75 kW</t>
  </si>
  <si>
    <t>IEC80 with brake 1500 rpm 0,75 kW</t>
  </si>
  <si>
    <t>IEC90 3000 rpm 2,2 kW</t>
  </si>
  <si>
    <t>IEC90 with brake 3000 rpm 2,2 kW</t>
  </si>
  <si>
    <t>IEC90 1500 rpm 1,5 kW</t>
  </si>
  <si>
    <t>IEC90 with brake 1500 rpm 1,5 kW</t>
  </si>
  <si>
    <t>IEC100 3000 rpm 3 kW</t>
  </si>
  <si>
    <t>IEC100 with brake 3000 rpm 3 kW</t>
  </si>
  <si>
    <t>IEC100 1500 rpm 3 kW</t>
  </si>
  <si>
    <t>IEC100 with brake 1500 rpm 3 kW</t>
  </si>
  <si>
    <t>IEC112 3000 rpm 4 kW</t>
  </si>
  <si>
    <t>IEC112 with brake 3000 rpm 4 kW</t>
  </si>
  <si>
    <t>IEC112 1500 rpm 4 kW</t>
  </si>
  <si>
    <t>IEC112 with brake 1500 rpm 4 kW</t>
  </si>
  <si>
    <t>Hold torque</t>
  </si>
  <si>
    <t>KML061</t>
  </si>
  <si>
    <t>KML062</t>
  </si>
  <si>
    <t>KML063</t>
  </si>
  <si>
    <t>KML091</t>
  </si>
  <si>
    <t>KML092</t>
  </si>
  <si>
    <t>KML093</t>
  </si>
  <si>
    <t>-</t>
  </si>
  <si>
    <t>AC motors</t>
  </si>
  <si>
    <t>AKM servo motor</t>
  </si>
  <si>
    <t>Direct / coupling</t>
  </si>
  <si>
    <t>Gear</t>
  </si>
  <si>
    <t>GS14</t>
  </si>
  <si>
    <t>GS19</t>
  </si>
  <si>
    <t>GS24</t>
  </si>
  <si>
    <t>No motor</t>
  </si>
  <si>
    <t>AC motor</t>
  </si>
  <si>
    <t>Stepper motor</t>
  </si>
  <si>
    <t>Inertia coupling</t>
  </si>
  <si>
    <t>Inertia gear</t>
  </si>
  <si>
    <t>Inertia motor</t>
  </si>
  <si>
    <t>Customer motor</t>
  </si>
  <si>
    <t>shaft</t>
  </si>
  <si>
    <t>motor</t>
  </si>
  <si>
    <t>Motor torque during costant speed</t>
  </si>
  <si>
    <t>motor speed</t>
  </si>
  <si>
    <t>Motor torque duringacceleration</t>
  </si>
  <si>
    <t>Nm including inertia and losses in gear</t>
  </si>
  <si>
    <t>Total inertia reduced to motor shaft</t>
  </si>
  <si>
    <t>Inertia balance</t>
  </si>
  <si>
    <t>Här är lite frågetecken, eller nej?</t>
  </si>
  <si>
    <t>Required motor data</t>
  </si>
  <si>
    <t>Max speed</t>
  </si>
  <si>
    <t>Torque at constant speed</t>
  </si>
  <si>
    <t xml:space="preserve"> Torque during acceleration</t>
  </si>
  <si>
    <t>Power at constant speed</t>
  </si>
  <si>
    <t>Power during acceleration</t>
  </si>
  <si>
    <t>Supplier, torque, power, rpm etc</t>
  </si>
  <si>
    <t>Notes:</t>
  </si>
  <si>
    <t>System inertia</t>
  </si>
  <si>
    <t>kg m² (excluding gear, motor etc)</t>
  </si>
  <si>
    <t>#</t>
  </si>
  <si>
    <t>Guide for selection of fm factor</t>
  </si>
  <si>
    <t>fm = 1,0 ;The same load in both directions</t>
  </si>
  <si>
    <t>fm = 0,48 ; Full load 10% of the stroke forward and 20% rest of cycle</t>
  </si>
  <si>
    <t>fm = 1,0 ; The same load in both directions</t>
  </si>
  <si>
    <t>ABS</t>
  </si>
  <si>
    <t>Glossary</t>
  </si>
  <si>
    <t>This is the max theoretical stroke of the unit.</t>
  </si>
  <si>
    <t>Please note that it is important to stop the</t>
  </si>
  <si>
    <t xml:space="preserve"> movement before reaching end of stroke.</t>
  </si>
  <si>
    <t>This is the max speed used during the stroke</t>
  </si>
  <si>
    <t>Rate of speed change going from a lower to a higher speed</t>
  </si>
  <si>
    <r>
      <t>Typically meassured in m/s</t>
    </r>
    <r>
      <rPr>
        <vertAlign val="superscript"/>
        <sz val="10"/>
        <rFont val="Arial"/>
        <family val="2"/>
      </rPr>
      <t>2</t>
    </r>
  </si>
  <si>
    <t>Force / Mass</t>
  </si>
  <si>
    <t>Example: when you push a box on the floor, you are using a force.</t>
  </si>
  <si>
    <t>Mass is what you normally call "weight"</t>
  </si>
  <si>
    <t>The friction between the rolls and the floor is the force at constant speed</t>
  </si>
  <si>
    <t>When you accelarate the box you will need a bigger force but this will</t>
  </si>
  <si>
    <t xml:space="preserve"> this software take care of.</t>
  </si>
  <si>
    <t>Force</t>
  </si>
  <si>
    <t>If you instead lift the box, you need a force</t>
  </si>
  <si>
    <t>doing that but don't forget that you are also</t>
  </si>
  <si>
    <t>moving a mass.</t>
  </si>
  <si>
    <t>Both force and mass must be inserted</t>
  </si>
  <si>
    <t>in the calculation.</t>
  </si>
  <si>
    <t>Example: When you push a car, the mass is about 1000 kg but</t>
  </si>
  <si>
    <t>the force is perhaps just 200 N.</t>
  </si>
  <si>
    <t>When you lift the same car, the mass is still 1000 kg but the force is about 10 000 N</t>
  </si>
  <si>
    <t>Compressing a spring requires a force but the mass is close to zero.</t>
  </si>
  <si>
    <t>Similar examples are punching holes, extruding, pumping and locking clamps.</t>
  </si>
  <si>
    <t xml:space="preserve"> load factor fm</t>
  </si>
  <si>
    <t xml:space="preserve">   Very often the force to the unit is not the same all the time during the stroke.</t>
  </si>
  <si>
    <t>If the load is lower during some part, this is positive for the life time of ball screw</t>
  </si>
  <si>
    <t>and ball bearings. The requested max motor power will still be the same.</t>
  </si>
  <si>
    <t>This can be calculated from formulas normally found in ball bearing catalogues.</t>
  </si>
  <si>
    <t>Linear unit WM</t>
  </si>
  <si>
    <t>WM60 WM80 WM120</t>
  </si>
  <si>
    <t>WM60D</t>
  </si>
  <si>
    <t>WM60S</t>
  </si>
  <si>
    <t>WM80D</t>
  </si>
  <si>
    <t>WM80S</t>
  </si>
  <si>
    <t>WM120D</t>
  </si>
  <si>
    <t>Ball screw Ø20 with double ball nuts</t>
  </si>
  <si>
    <t>Ball screw Ø20 with single ball nut</t>
  </si>
  <si>
    <t>Ball screw Ø25 with double ball nuts</t>
  </si>
  <si>
    <t>Ball screw Ø25 with single ball nut</t>
  </si>
  <si>
    <t xml:space="preserve">  Ball guides</t>
  </si>
  <si>
    <t>Ball screw Ø32 with double ball nuts</t>
  </si>
  <si>
    <t>Ball screw lead mm</t>
  </si>
  <si>
    <t>Carriage weight</t>
  </si>
  <si>
    <t>Long carriage weight</t>
  </si>
  <si>
    <t xml:space="preserve">second carriage </t>
  </si>
  <si>
    <t>friction N</t>
  </si>
  <si>
    <t>Min dist carriage LA</t>
  </si>
  <si>
    <t>##</t>
  </si>
  <si>
    <t>Calculation of total length  L tot = stroke + C</t>
  </si>
  <si>
    <t>C =</t>
  </si>
  <si>
    <t>WM60D Long carr.</t>
  </si>
  <si>
    <t>WM8D0 long carriage</t>
  </si>
  <si>
    <t>WM120D long carr</t>
  </si>
  <si>
    <t>Screw lead</t>
  </si>
  <si>
    <t>add length C</t>
  </si>
  <si>
    <t>ball guide carriage</t>
  </si>
  <si>
    <t>Distance between</t>
  </si>
  <si>
    <t>each carriage</t>
  </si>
  <si>
    <t>WM06D</t>
  </si>
  <si>
    <t>WM06S</t>
  </si>
  <si>
    <t>WM08D</t>
  </si>
  <si>
    <t>WM08S</t>
  </si>
  <si>
    <t>WM12D</t>
  </si>
  <si>
    <t>Cz dyn</t>
  </si>
  <si>
    <t>Cy dyn</t>
  </si>
  <si>
    <t>Dynamic rating of ball screw  Cx</t>
  </si>
  <si>
    <t>Cx dyn   ball screw</t>
  </si>
  <si>
    <t xml:space="preserve">Following assumption is made:  each Nm torque in Mz and My will create a friction force of </t>
  </si>
  <si>
    <t>N for  WM60S and WM 80S with single carriage</t>
  </si>
  <si>
    <t>For other units, this will be concidered to create a pair of forces in Y or Z direction</t>
  </si>
  <si>
    <t>C/C "Schlitt" in long carr</t>
  </si>
  <si>
    <t>If WM60S or WM80S with single carriage, then Yes = 1 otherwise No = 0</t>
  </si>
  <si>
    <t>klart hit</t>
  </si>
  <si>
    <t>Max Fx</t>
  </si>
  <si>
    <t>one unit</t>
  </si>
  <si>
    <t>Calculation of lifetime.</t>
  </si>
  <si>
    <t>The lifetime of the ball guides will be based on the total % of load in all directions and the max allowed Fz load compared to Cz value for the ball guides</t>
  </si>
  <si>
    <r>
      <t xml:space="preserve">Lifetime </t>
    </r>
    <r>
      <rPr>
        <vertAlign val="subscript"/>
        <sz val="11"/>
        <color theme="1"/>
        <rFont val="Arial"/>
        <family val="2"/>
      </rPr>
      <t>ball guide</t>
    </r>
    <r>
      <rPr>
        <sz val="11"/>
        <color theme="1"/>
        <rFont val="Arial"/>
        <family val="2"/>
      </rPr>
      <t xml:space="preserve"> =</t>
    </r>
  </si>
  <si>
    <t>m</t>
  </si>
  <si>
    <t>Carriages/unit</t>
  </si>
  <si>
    <t>preload ball screw</t>
  </si>
  <si>
    <t>preload ball bearing</t>
  </si>
  <si>
    <r>
      <t xml:space="preserve">Lh </t>
    </r>
    <r>
      <rPr>
        <vertAlign val="subscript"/>
        <sz val="11"/>
        <color theme="1"/>
        <rFont val="Arial"/>
        <family val="2"/>
      </rPr>
      <t>ball guide</t>
    </r>
    <r>
      <rPr>
        <sz val="11"/>
        <color theme="1"/>
        <rFont val="Arial"/>
        <family val="2"/>
      </rPr>
      <t xml:space="preserve"> = (C / ( Fz x %))^3 x 10^5  m</t>
    </r>
  </si>
  <si>
    <r>
      <t xml:space="preserve">Lh </t>
    </r>
    <r>
      <rPr>
        <vertAlign val="subscript"/>
        <sz val="11"/>
        <color theme="1"/>
        <rFont val="Arial"/>
        <family val="2"/>
      </rPr>
      <t>ball screw</t>
    </r>
    <r>
      <rPr>
        <sz val="11"/>
        <color theme="1"/>
        <rFont val="Arial"/>
        <family val="2"/>
      </rPr>
      <t xml:space="preserve"> = (C / Fx)^3 x 10^6  revolutions</t>
    </r>
  </si>
  <si>
    <r>
      <t xml:space="preserve">Lifetime </t>
    </r>
    <r>
      <rPr>
        <vertAlign val="subscript"/>
        <sz val="11"/>
        <color theme="1"/>
        <rFont val="Arial"/>
        <family val="2"/>
      </rPr>
      <t>ball screw</t>
    </r>
    <r>
      <rPr>
        <sz val="11"/>
        <color theme="1"/>
        <rFont val="Arial"/>
        <family val="2"/>
      </rPr>
      <t xml:space="preserve"> =</t>
    </r>
  </si>
  <si>
    <r>
      <t xml:space="preserve">Lifetime </t>
    </r>
    <r>
      <rPr>
        <vertAlign val="subscript"/>
        <sz val="11"/>
        <color theme="1"/>
        <rFont val="Arial"/>
        <family val="2"/>
      </rPr>
      <t>ball bearing</t>
    </r>
    <r>
      <rPr>
        <sz val="11"/>
        <color theme="1"/>
        <rFont val="Arial"/>
        <family val="2"/>
      </rPr>
      <t xml:space="preserve"> =</t>
    </r>
  </si>
  <si>
    <t>7205 BEP</t>
  </si>
  <si>
    <t>7206 BEP</t>
  </si>
  <si>
    <t>7207 BEP</t>
  </si>
  <si>
    <t>rev   =</t>
  </si>
  <si>
    <t>m  =</t>
  </si>
  <si>
    <t>rev    =</t>
  </si>
  <si>
    <t>Ball guide</t>
  </si>
  <si>
    <t>Ball screw</t>
  </si>
  <si>
    <t>Ball bearing drive end</t>
  </si>
  <si>
    <t xml:space="preserve">Designation:  </t>
  </si>
  <si>
    <t>Cr dyn ball bearing</t>
  </si>
  <si>
    <t>Ball screw diameter</t>
  </si>
  <si>
    <t>Ball nut</t>
  </si>
  <si>
    <t>2005-D</t>
  </si>
  <si>
    <t>2020-D</t>
  </si>
  <si>
    <t>2050-D</t>
  </si>
  <si>
    <t>2005-S</t>
  </si>
  <si>
    <t>2020-S</t>
  </si>
  <si>
    <t>2050-S</t>
  </si>
  <si>
    <t>2505-D</t>
  </si>
  <si>
    <t>2510-D</t>
  </si>
  <si>
    <t>2520-D</t>
  </si>
  <si>
    <t>2550-D</t>
  </si>
  <si>
    <t>2505-S</t>
  </si>
  <si>
    <t>2510-S</t>
  </si>
  <si>
    <t>2520-S</t>
  </si>
  <si>
    <t>2550-S</t>
  </si>
  <si>
    <t>3205-D</t>
  </si>
  <si>
    <t>3210-D</t>
  </si>
  <si>
    <t>3220-D</t>
  </si>
  <si>
    <t>3240-D</t>
  </si>
  <si>
    <t>Idle torque at</t>
  </si>
  <si>
    <t>rpm ball screw</t>
  </si>
  <si>
    <t>Nm per unit</t>
  </si>
  <si>
    <t>at constant</t>
  </si>
  <si>
    <t>speed</t>
  </si>
  <si>
    <t>Total Fx at</t>
  </si>
  <si>
    <t xml:space="preserve">Fx per unit  </t>
  </si>
  <si>
    <t xml:space="preserve">during acc  </t>
  </si>
  <si>
    <t xml:space="preserve">  const. speed</t>
  </si>
  <si>
    <t>Efficieny factor ball nut =</t>
  </si>
  <si>
    <t>Nm (including ball screw inertia)</t>
  </si>
  <si>
    <t>Linear inertia from load and carries:</t>
  </si>
  <si>
    <t>Inertia ball screw</t>
  </si>
  <si>
    <t>Inertia kgm² / m</t>
  </si>
  <si>
    <t>GS28</t>
  </si>
  <si>
    <t>WM60</t>
  </si>
  <si>
    <t>WM80</t>
  </si>
  <si>
    <t>WM120</t>
  </si>
  <si>
    <t>fm = 0,81 ;Full load forward, 50% load back</t>
  </si>
  <si>
    <t>fm = 0,89 ;Full load forward, 75% load back</t>
  </si>
  <si>
    <t>fm = 0,8 ;Full load forward, no load back</t>
  </si>
  <si>
    <t>fm = 0,63 ;Full load 50% of the stroke forward and no load back</t>
  </si>
  <si>
    <t>fm = 0,89 ; Full load forward, 75% load back</t>
  </si>
  <si>
    <t>fm = 0,81 ; Full load forward, 50% load back</t>
  </si>
  <si>
    <t>fm = 0,8 ; Full load forward, no load back</t>
  </si>
  <si>
    <t>kg         in location from top of carriage</t>
  </si>
  <si>
    <t>Total dynamic load combined all directions (apart of Fx)</t>
  </si>
  <si>
    <t xml:space="preserve"> Please note:</t>
  </si>
  <si>
    <t xml:space="preserve"> Fx, Fy, Fz, Mx, My and Mz are external forces and torques and </t>
  </si>
  <si>
    <t xml:space="preserve"> are not connected with or caused by "Total mass to move"</t>
  </si>
  <si>
    <t>fm = 0,89 ;Load forward, 75% load back</t>
  </si>
  <si>
    <t>fm = 0,81 ;Load forward, 50% load back</t>
  </si>
  <si>
    <t>fm = 0,8 ;Load forward, no load back</t>
  </si>
  <si>
    <t>fm = 0,63 ;Load 50% of the stroke forward and no load back</t>
  </si>
  <si>
    <t xml:space="preserve"> Fx, Fy, Fz, Mx, My and Mz are external forces and torques and  are not connected with or caused by "Total mass to move"</t>
  </si>
  <si>
    <t xml:space="preserve"> Forces and torques towards the carriage caused by the weight of mass and accelaration of the mass are</t>
  </si>
  <si>
    <t xml:space="preserve"> taken care of by the calculations. The orientation of the linear unit and the location of the mass are important for correct answer.</t>
  </si>
  <si>
    <r>
      <t xml:space="preserve"> If the mass is carried by external guides or by the carriage/carriages, select correct </t>
    </r>
    <r>
      <rPr>
        <b/>
        <sz val="11"/>
        <color theme="1"/>
        <rFont val="Calibri"/>
        <family val="2"/>
        <scheme val="minor"/>
      </rPr>
      <t xml:space="preserve"> No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theme="1"/>
        <rFont val="Calibri"/>
        <family val="2"/>
        <scheme val="minor"/>
      </rPr>
      <t>Yes</t>
    </r>
  </si>
  <si>
    <t>Calculations at a unit with two carraiges, two units with each one carriage or two units with each two carriages are made as if the carriages are connected with a solid block.</t>
  </si>
  <si>
    <t>connecing block</t>
  </si>
  <si>
    <t>One unit</t>
  </si>
  <si>
    <t>Two units in parallel with each one carriage</t>
  </si>
  <si>
    <t>Two units in parallel with each two carriages</t>
  </si>
  <si>
    <t>WM60Z  WM80Z</t>
  </si>
  <si>
    <t>WM60Z</t>
  </si>
  <si>
    <t>WM80Z</t>
  </si>
  <si>
    <t>Type of belt</t>
  </si>
  <si>
    <t xml:space="preserve">  Belt drive</t>
  </si>
  <si>
    <t>S = Single short carriage</t>
  </si>
  <si>
    <t>Y = Double short carriages</t>
  </si>
  <si>
    <t>WM60Z - S</t>
  </si>
  <si>
    <t>WM60Z- Y</t>
  </si>
  <si>
    <t>WM80Z- N</t>
  </si>
  <si>
    <t>WM80Z- S</t>
  </si>
  <si>
    <t>WM80Z- L</t>
  </si>
  <si>
    <t>WM80Z- Z</t>
  </si>
  <si>
    <t>WM80Z- Y</t>
  </si>
  <si>
    <t>N = Single standard carriage</t>
  </si>
  <si>
    <t>L = Single long carriage</t>
  </si>
  <si>
    <t>Z = Double standard carriages</t>
  </si>
  <si>
    <t xml:space="preserve">   each carriage</t>
  </si>
  <si>
    <t>rpm drive shaft</t>
  </si>
  <si>
    <t>If WM60Z or WM80Z with single short carriage, then Yes = 1 otherwise No = 0</t>
  </si>
  <si>
    <t>S</t>
  </si>
  <si>
    <t>Y</t>
  </si>
  <si>
    <t>L</t>
  </si>
  <si>
    <t>Z</t>
  </si>
  <si>
    <t>Force at drive pulley equally shared on two ball bearings. Total force( 2 x 1,1 x pretension belt) + Fx</t>
  </si>
  <si>
    <t>N / bearing</t>
  </si>
  <si>
    <t>Lifetime ball bearing</t>
  </si>
  <si>
    <t>Force at tensioning wheel equally shared on two ball bearings. Total force (2 x 1,1 x pretension belt) + (2 x Fx)</t>
  </si>
  <si>
    <t xml:space="preserve"> carriage </t>
  </si>
  <si>
    <t>pre-tension belt</t>
  </si>
  <si>
    <t>C dyn Ball bearing drive shaft</t>
  </si>
  <si>
    <t>C dyn Ball bearing tension</t>
  </si>
  <si>
    <t>Ball bearing tensioon wheel</t>
  </si>
  <si>
    <t>Ball bearing tension wheel</t>
  </si>
  <si>
    <t>Efficieny factor belt =</t>
  </si>
  <si>
    <t>Screw driven</t>
  </si>
  <si>
    <t>Belt driven</t>
  </si>
  <si>
    <t>Diameter drive pulley</t>
  </si>
  <si>
    <t>Idle torque at this speed</t>
  </si>
  <si>
    <t>Linear inertia from load, carries and belt:</t>
  </si>
  <si>
    <t>Inertia drive pulley</t>
  </si>
  <si>
    <t xml:space="preserve"> J = m / 2 x R²</t>
  </si>
  <si>
    <t>Inertia tension pulley</t>
  </si>
  <si>
    <t>Parallel shaft VWZ-</t>
  </si>
  <si>
    <t>Idle torque at 150 rpm</t>
  </si>
  <si>
    <t>½ speed</t>
  </si>
  <si>
    <t>full speed</t>
  </si>
  <si>
    <t>Belt weight kg/m</t>
  </si>
  <si>
    <t>Pulley width drive</t>
  </si>
  <si>
    <t>Pulley width tension</t>
  </si>
  <si>
    <t>VWZ</t>
  </si>
  <si>
    <t>kgm²/m</t>
  </si>
  <si>
    <t>WM06Z120</t>
  </si>
  <si>
    <t>WM08Z170</t>
  </si>
  <si>
    <t>2015 03 09 JHj       Release 0</t>
  </si>
  <si>
    <t>WV60</t>
  </si>
  <si>
    <t>WV80</t>
  </si>
  <si>
    <t>WV120</t>
  </si>
  <si>
    <t>Linear unit WV</t>
  </si>
  <si>
    <t>WV60  WV80  WV120</t>
  </si>
  <si>
    <t xml:space="preserve">  un-guided</t>
  </si>
  <si>
    <t xml:space="preserve">kg         </t>
  </si>
  <si>
    <t>Horizontal mounting, single unit</t>
  </si>
  <si>
    <t>Horizontal mounting, 2 units</t>
  </si>
  <si>
    <t>Single unit</t>
  </si>
  <si>
    <t>Nm per application</t>
  </si>
  <si>
    <t>WV06D</t>
  </si>
  <si>
    <t>WV08D</t>
  </si>
  <si>
    <t>WV12D</t>
  </si>
  <si>
    <t>2015 03 23 JHj       Release 1</t>
  </si>
  <si>
    <t>screw drive, un-guided  WV</t>
  </si>
  <si>
    <t>2015 03 23 JHj       Release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</si>
</sst>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&quot;kr&quot;_-;\-* #,##0.00\ &quot;kr&quot;_-;_-* &quot;-&quot;??\ &quot;kr&quot;_-;_-@_-"/>
    <numFmt numFmtId="165" formatCode="0.0"/>
    <numFmt numFmtId="166" formatCode="0.000"/>
    <numFmt numFmtId="167" formatCode="#,##0.0"/>
    <numFmt numFmtId="168" formatCode="#,##0.000000"/>
    <numFmt numFmtId="169" formatCode="0.000000"/>
    <numFmt numFmtId="170" formatCode="#,##0.000"/>
    <numFmt numFmtId="171" formatCode="0.00000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indexed="12"/>
      <name val="Arial"/>
      <family val="2"/>
    </font>
    <font>
      <sz val="11"/>
      <color indexed="12"/>
      <name val="Arial"/>
      <family val="2"/>
    </font>
    <font>
      <b/>
      <i/>
      <sz val="11"/>
      <color indexed="10"/>
      <name val="Arial"/>
      <family val="2"/>
    </font>
    <font>
      <sz val="11"/>
      <color indexed="8"/>
      <name val="Arial"/>
      <family val="2"/>
    </font>
    <font>
      <b/>
      <sz val="11"/>
      <color rgb="FFFF0000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rgb="FF0070C0"/>
      <name val="Arial"/>
      <family val="2"/>
    </font>
    <font>
      <sz val="12"/>
      <name val="Arial"/>
      <family val="2"/>
    </font>
    <font>
      <b/>
      <i/>
      <sz val="12"/>
      <color rgb="FFFF0000"/>
      <name val="Arial"/>
      <family val="2"/>
    </font>
    <font>
      <sz val="11"/>
      <color theme="1"/>
      <name val="Calibri"/>
      <family val="2"/>
    </font>
    <font>
      <sz val="12.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0070C0"/>
      <name val="Arial"/>
      <family val="2"/>
    </font>
    <font>
      <b/>
      <u/>
      <sz val="14"/>
      <name val="Arial"/>
      <family val="2"/>
    </font>
    <font>
      <sz val="10"/>
      <color indexed="8"/>
      <name val="Arial"/>
      <family val="2"/>
    </font>
    <font>
      <vertAlign val="subscript"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CCFFF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</cellStyleXfs>
  <cellXfs count="481">
    <xf numFmtId="0" fontId="0" fillId="0" borderId="0" xfId="0"/>
    <xf numFmtId="0" fontId="2" fillId="0" borderId="0" xfId="1" applyFont="1" applyFill="1" applyBorder="1" applyProtection="1">
      <protection hidden="1"/>
    </xf>
    <xf numFmtId="0" fontId="3" fillId="0" borderId="0" xfId="1" applyFont="1" applyProtection="1">
      <protection hidden="1"/>
    </xf>
    <xf numFmtId="0" fontId="4" fillId="0" borderId="0" xfId="1" applyFont="1" applyProtection="1">
      <protection hidden="1"/>
    </xf>
    <xf numFmtId="0" fontId="5" fillId="0" borderId="0" xfId="1" applyFont="1" applyAlignment="1" applyProtection="1">
      <alignment horizontal="center" wrapText="1"/>
      <protection hidden="1"/>
    </xf>
    <xf numFmtId="0" fontId="3" fillId="0" borderId="0" xfId="0" applyFont="1" applyProtection="1">
      <protection hidden="1"/>
    </xf>
    <xf numFmtId="0" fontId="6" fillId="0" borderId="0" xfId="1" applyFont="1" applyAlignment="1" applyProtection="1">
      <alignment horizontal="right"/>
      <protection hidden="1"/>
    </xf>
    <xf numFmtId="0" fontId="3" fillId="0" borderId="0" xfId="1" applyFont="1" applyFill="1" applyProtection="1">
      <protection hidden="1"/>
    </xf>
    <xf numFmtId="0" fontId="3" fillId="0" borderId="0" xfId="1" applyFont="1" applyProtection="1">
      <protection locked="0" hidden="1"/>
    </xf>
    <xf numFmtId="0" fontId="3" fillId="0" borderId="0" xfId="0" applyFont="1" applyProtection="1">
      <protection locked="0" hidden="1"/>
    </xf>
    <xf numFmtId="20" fontId="5" fillId="0" borderId="0" xfId="1" applyNumberFormat="1" applyFont="1" applyAlignment="1" applyProtection="1">
      <alignment horizontal="right"/>
      <protection locked="0" hidden="1"/>
    </xf>
    <xf numFmtId="0" fontId="3" fillId="0" borderId="0" xfId="0" applyFont="1" applyProtection="1">
      <protection locked="0"/>
    </xf>
    <xf numFmtId="0" fontId="3" fillId="0" borderId="0" xfId="0" applyFont="1" applyFill="1" applyBorder="1" applyProtection="1">
      <protection hidden="1"/>
    </xf>
    <xf numFmtId="0" fontId="8" fillId="0" borderId="0" xfId="0" applyFont="1" applyFill="1" applyBorder="1" applyProtection="1">
      <protection hidden="1"/>
    </xf>
    <xf numFmtId="0" fontId="3" fillId="0" borderId="0" xfId="0" applyFont="1" applyBorder="1" applyProtection="1">
      <protection hidden="1"/>
    </xf>
    <xf numFmtId="0" fontId="0" fillId="0" borderId="0" xfId="0" applyAlignment="1">
      <alignment horizontal="center"/>
    </xf>
    <xf numFmtId="0" fontId="11" fillId="0" borderId="0" xfId="0" applyFont="1"/>
    <xf numFmtId="0" fontId="11" fillId="0" borderId="0" xfId="0" applyFont="1" applyProtection="1">
      <protection hidden="1"/>
    </xf>
    <xf numFmtId="0" fontId="11" fillId="0" borderId="0" xfId="0" applyFont="1" applyProtection="1">
      <protection locked="0" hidden="1"/>
    </xf>
    <xf numFmtId="0" fontId="11" fillId="0" borderId="0" xfId="0" applyFont="1" applyAlignment="1">
      <alignment horizontal="center"/>
    </xf>
    <xf numFmtId="3" fontId="11" fillId="0" borderId="0" xfId="0" applyNumberFormat="1" applyFont="1"/>
    <xf numFmtId="0" fontId="11" fillId="0" borderId="0" xfId="0" applyFont="1" applyProtection="1">
      <protection locked="0"/>
    </xf>
    <xf numFmtId="0" fontId="11" fillId="0" borderId="0" xfId="0" applyFont="1" applyFill="1" applyBorder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0" fontId="13" fillId="0" borderId="0" xfId="0" applyFont="1"/>
    <xf numFmtId="0" fontId="14" fillId="0" borderId="0" xfId="0" applyFont="1" applyFill="1" applyBorder="1" applyProtection="1">
      <protection hidden="1"/>
    </xf>
    <xf numFmtId="0" fontId="14" fillId="0" borderId="0" xfId="0" applyFont="1" applyAlignment="1" applyProtection="1">
      <alignment horizontal="right"/>
      <protection hidden="1"/>
    </xf>
    <xf numFmtId="0" fontId="15" fillId="0" borderId="0" xfId="0" applyFont="1" applyFill="1" applyBorder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Protection="1">
      <protection hidden="1"/>
    </xf>
    <xf numFmtId="0" fontId="16" fillId="0" borderId="0" xfId="0" applyFont="1" applyFill="1" applyAlignment="1" applyProtection="1">
      <alignment horizontal="left"/>
      <protection hidden="1"/>
    </xf>
    <xf numFmtId="0" fontId="14" fillId="0" borderId="0" xfId="0" applyFont="1" applyFill="1" applyProtection="1">
      <protection hidden="1"/>
    </xf>
    <xf numFmtId="0" fontId="16" fillId="0" borderId="0" xfId="0" applyFont="1" applyFill="1" applyProtection="1">
      <protection hidden="1"/>
    </xf>
    <xf numFmtId="0" fontId="14" fillId="0" borderId="0" xfId="0" quotePrefix="1" applyFont="1" applyAlignment="1" applyProtection="1">
      <alignment horizontal="right"/>
      <protection hidden="1"/>
    </xf>
    <xf numFmtId="0" fontId="18" fillId="2" borderId="3" xfId="1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left"/>
      <protection hidden="1"/>
    </xf>
    <xf numFmtId="0" fontId="16" fillId="3" borderId="0" xfId="0" applyFont="1" applyFill="1" applyAlignment="1" applyProtection="1">
      <alignment horizontal="center"/>
      <protection hidden="1"/>
    </xf>
    <xf numFmtId="0" fontId="16" fillId="0" borderId="0" xfId="0" applyFont="1" applyAlignment="1" applyProtection="1">
      <alignment horizontal="right" vertical="top"/>
      <protection hidden="1"/>
    </xf>
    <xf numFmtId="0" fontId="16" fillId="0" borderId="0" xfId="0" applyFont="1" applyAlignment="1" applyProtection="1">
      <alignment horizontal="center" vertical="top"/>
      <protection hidden="1"/>
    </xf>
    <xf numFmtId="0" fontId="16" fillId="0" borderId="0" xfId="0" applyFont="1" applyAlignment="1" applyProtection="1">
      <alignment horizontal="left" vertical="top"/>
      <protection hidden="1"/>
    </xf>
    <xf numFmtId="0" fontId="18" fillId="2" borderId="3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left" vertical="top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0" fontId="19" fillId="0" borderId="0" xfId="0" applyFont="1" applyProtection="1">
      <protection hidden="1"/>
    </xf>
    <xf numFmtId="0" fontId="20" fillId="0" borderId="0" xfId="0" applyFont="1" applyProtection="1">
      <protection hidden="1"/>
    </xf>
    <xf numFmtId="165" fontId="16" fillId="3" borderId="0" xfId="0" applyNumberFormat="1" applyFont="1" applyFill="1" applyAlignment="1" applyProtection="1">
      <alignment horizontal="center"/>
      <protection hidden="1"/>
    </xf>
    <xf numFmtId="0" fontId="14" fillId="0" borderId="0" xfId="0" quotePrefix="1" applyFont="1" applyAlignment="1" applyProtection="1">
      <alignment horizontal="left"/>
      <protection hidden="1"/>
    </xf>
    <xf numFmtId="0" fontId="14" fillId="0" borderId="0" xfId="1" applyFont="1" applyProtection="1">
      <protection locked="0" hidden="1"/>
    </xf>
    <xf numFmtId="0" fontId="14" fillId="0" borderId="0" xfId="1" applyFont="1" applyAlignment="1" applyProtection="1">
      <alignment horizontal="right"/>
      <protection hidden="1"/>
    </xf>
    <xf numFmtId="0" fontId="21" fillId="0" borderId="0" xfId="0" applyFont="1" applyProtection="1">
      <protection hidden="1"/>
    </xf>
    <xf numFmtId="0" fontId="21" fillId="0" borderId="0" xfId="0" applyFont="1"/>
    <xf numFmtId="0" fontId="11" fillId="0" borderId="0" xfId="0" applyFont="1" applyAlignment="1">
      <alignment horizontal="right"/>
    </xf>
    <xf numFmtId="0" fontId="10" fillId="0" borderId="0" xfId="0" applyFont="1"/>
    <xf numFmtId="0" fontId="7" fillId="4" borderId="4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7" fillId="4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1" fontId="9" fillId="5" borderId="6" xfId="0" applyNumberFormat="1" applyFont="1" applyFill="1" applyBorder="1" applyAlignment="1">
      <alignment horizontal="center"/>
    </xf>
    <xf numFmtId="166" fontId="9" fillId="5" borderId="6" xfId="0" applyNumberFormat="1" applyFont="1" applyFill="1" applyBorder="1" applyAlignment="1">
      <alignment horizontal="center"/>
    </xf>
    <xf numFmtId="0" fontId="9" fillId="5" borderId="6" xfId="0" applyNumberFormat="1" applyFont="1" applyFill="1" applyBorder="1" applyAlignment="1">
      <alignment horizontal="center"/>
    </xf>
    <xf numFmtId="166" fontId="0" fillId="0" borderId="0" xfId="0" applyNumberFormat="1"/>
    <xf numFmtId="0" fontId="9" fillId="0" borderId="0" xfId="0" applyFont="1"/>
    <xf numFmtId="166" fontId="9" fillId="5" borderId="8" xfId="0" applyNumberFormat="1" applyFont="1" applyFill="1" applyBorder="1" applyAlignment="1">
      <alignment horizontal="center"/>
    </xf>
    <xf numFmtId="0" fontId="0" fillId="0" borderId="9" xfId="0" applyBorder="1"/>
    <xf numFmtId="2" fontId="9" fillId="0" borderId="0" xfId="0" applyNumberFormat="1" applyFont="1" applyAlignment="1">
      <alignment horizontal="center"/>
    </xf>
    <xf numFmtId="2" fontId="16" fillId="3" borderId="0" xfId="0" applyNumberFormat="1" applyFont="1" applyFill="1" applyAlignment="1" applyProtection="1">
      <alignment horizontal="center"/>
      <protection hidden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Fill="1"/>
    <xf numFmtId="0" fontId="24" fillId="0" borderId="4" xfId="0" applyFont="1" applyFill="1" applyBorder="1"/>
    <xf numFmtId="0" fontId="11" fillId="0" borderId="10" xfId="0" applyFont="1" applyFill="1" applyBorder="1"/>
    <xf numFmtId="0" fontId="11" fillId="0" borderId="6" xfId="0" applyFont="1" applyFill="1" applyBorder="1" applyAlignment="1">
      <alignment horizontal="left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6" xfId="0" applyFont="1" applyFill="1" applyBorder="1"/>
    <xf numFmtId="0" fontId="24" fillId="0" borderId="0" xfId="0" applyFont="1" applyFill="1" applyBorder="1"/>
    <xf numFmtId="0" fontId="11" fillId="0" borderId="6" xfId="0" applyFont="1" applyFill="1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9" fontId="11" fillId="0" borderId="0" xfId="2" applyFont="1" applyFill="1" applyBorder="1" applyAlignment="1">
      <alignment horizontal="center"/>
    </xf>
    <xf numFmtId="0" fontId="13" fillId="0" borderId="0" xfId="0" applyFont="1" applyFill="1" applyBorder="1"/>
    <xf numFmtId="165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9" fontId="11" fillId="0" borderId="0" xfId="0" applyNumberFormat="1" applyFont="1" applyFill="1" applyBorder="1"/>
    <xf numFmtId="0" fontId="11" fillId="0" borderId="8" xfId="0" applyFont="1" applyFill="1" applyBorder="1"/>
    <xf numFmtId="0" fontId="11" fillId="0" borderId="1" xfId="0" applyFont="1" applyFill="1" applyBorder="1"/>
    <xf numFmtId="165" fontId="11" fillId="0" borderId="1" xfId="0" applyNumberFormat="1" applyFont="1" applyFill="1" applyBorder="1" applyAlignment="1">
      <alignment horizontal="center"/>
    </xf>
    <xf numFmtId="0" fontId="24" fillId="0" borderId="4" xfId="0" applyFont="1" applyBorder="1"/>
    <xf numFmtId="0" fontId="11" fillId="0" borderId="10" xfId="0" applyFont="1" applyBorder="1"/>
    <xf numFmtId="0" fontId="11" fillId="0" borderId="6" xfId="0" applyFont="1" applyBorder="1" applyAlignment="1">
      <alignment horizontal="left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11" fillId="0" borderId="6" xfId="0" applyFont="1" applyBorder="1"/>
    <xf numFmtId="0" fontId="24" fillId="0" borderId="0" xfId="0" applyFont="1" applyBorder="1"/>
    <xf numFmtId="0" fontId="11" fillId="0" borderId="6" xfId="0" applyFont="1" applyBorder="1" applyAlignment="1">
      <alignment horizontal="center"/>
    </xf>
    <xf numFmtId="165" fontId="11" fillId="0" borderId="0" xfId="0" applyNumberFormat="1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9" fontId="11" fillId="0" borderId="0" xfId="2" applyFont="1" applyBorder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1" fillId="0" borderId="0" xfId="0" applyNumberFormat="1" applyFont="1" applyBorder="1"/>
    <xf numFmtId="0" fontId="11" fillId="0" borderId="8" xfId="0" applyFont="1" applyBorder="1"/>
    <xf numFmtId="0" fontId="11" fillId="0" borderId="1" xfId="0" applyFont="1" applyBorder="1"/>
    <xf numFmtId="165" fontId="11" fillId="0" borderId="1" xfId="0" applyNumberFormat="1" applyFont="1" applyBorder="1" applyAlignment="1">
      <alignment horizontal="center"/>
    </xf>
    <xf numFmtId="1" fontId="11" fillId="0" borderId="0" xfId="0" applyNumberFormat="1" applyFont="1"/>
    <xf numFmtId="9" fontId="11" fillId="0" borderId="0" xfId="0" applyNumberFormat="1" applyFont="1"/>
    <xf numFmtId="0" fontId="21" fillId="0" borderId="0" xfId="0" applyFont="1" applyFill="1" applyProtection="1">
      <protection hidden="1"/>
    </xf>
    <xf numFmtId="0" fontId="16" fillId="0" borderId="0" xfId="0" applyFont="1" applyFill="1" applyAlignment="1" applyProtection="1">
      <alignment horizontal="right" vertical="top"/>
      <protection hidden="1"/>
    </xf>
    <xf numFmtId="0" fontId="11" fillId="0" borderId="0" xfId="0" applyFont="1" applyFill="1" applyProtection="1">
      <protection hidden="1"/>
    </xf>
    <xf numFmtId="0" fontId="24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9" fontId="11" fillId="0" borderId="0" xfId="2" applyFont="1"/>
    <xf numFmtId="0" fontId="11" fillId="0" borderId="0" xfId="0" applyFont="1" applyAlignment="1">
      <alignment horizontal="center"/>
    </xf>
    <xf numFmtId="0" fontId="11" fillId="6" borderId="0" xfId="0" applyFont="1" applyFill="1"/>
    <xf numFmtId="0" fontId="11" fillId="0" borderId="3" xfId="0" applyFont="1" applyBorder="1" applyAlignment="1">
      <alignment horizontal="center"/>
    </xf>
    <xf numFmtId="165" fontId="11" fillId="0" borderId="0" xfId="0" applyNumberFormat="1" applyFont="1"/>
    <xf numFmtId="165" fontId="13" fillId="0" borderId="0" xfId="0" applyNumberFormat="1" applyFont="1"/>
    <xf numFmtId="0" fontId="26" fillId="0" borderId="0" xfId="0" applyFont="1" applyBorder="1" applyAlignment="1">
      <alignment horizontal="right"/>
    </xf>
    <xf numFmtId="0" fontId="26" fillId="0" borderId="0" xfId="0" applyFont="1" applyBorder="1"/>
    <xf numFmtId="0" fontId="11" fillId="0" borderId="0" xfId="0" applyFont="1" applyAlignment="1">
      <alignment horizontal="center"/>
    </xf>
    <xf numFmtId="0" fontId="11" fillId="0" borderId="11" xfId="0" applyFont="1" applyBorder="1"/>
    <xf numFmtId="165" fontId="11" fillId="0" borderId="0" xfId="2" applyNumberFormat="1" applyFont="1"/>
    <xf numFmtId="0" fontId="11" fillId="0" borderId="0" xfId="0" applyFont="1" applyFill="1" applyAlignment="1">
      <alignment horizontal="center"/>
    </xf>
    <xf numFmtId="3" fontId="16" fillId="3" borderId="0" xfId="0" applyNumberFormat="1" applyFont="1" applyFill="1" applyAlignment="1" applyProtection="1">
      <alignment horizontal="center"/>
      <protection hidden="1"/>
    </xf>
    <xf numFmtId="1" fontId="11" fillId="0" borderId="0" xfId="0" applyNumberFormat="1" applyFont="1" applyFill="1"/>
    <xf numFmtId="9" fontId="16" fillId="3" borderId="0" xfId="2" applyFont="1" applyFill="1" applyAlignment="1" applyProtection="1">
      <alignment horizontal="center"/>
      <protection hidden="1"/>
    </xf>
    <xf numFmtId="167" fontId="16" fillId="3" borderId="0" xfId="0" applyNumberFormat="1" applyFont="1" applyFill="1" applyAlignment="1" applyProtection="1">
      <alignment horizontal="center"/>
      <protection hidden="1"/>
    </xf>
    <xf numFmtId="2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0" fontId="24" fillId="0" borderId="0" xfId="0" applyFont="1" applyFill="1"/>
    <xf numFmtId="169" fontId="11" fillId="0" borderId="0" xfId="0" applyNumberFormat="1" applyFont="1"/>
    <xf numFmtId="0" fontId="0" fillId="0" borderId="0" xfId="0" applyFill="1" applyBorder="1"/>
    <xf numFmtId="4" fontId="16" fillId="3" borderId="0" xfId="0" applyNumberFormat="1" applyFont="1" applyFill="1" applyAlignment="1" applyProtection="1">
      <alignment horizontal="center"/>
      <protection hidden="1"/>
    </xf>
    <xf numFmtId="0" fontId="3" fillId="0" borderId="0" xfId="0" applyFont="1"/>
    <xf numFmtId="0" fontId="3" fillId="0" borderId="0" xfId="0" applyFont="1" applyBorder="1"/>
    <xf numFmtId="0" fontId="1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69" fontId="0" fillId="0" borderId="0" xfId="0" applyNumberFormat="1" applyAlignment="1" applyProtection="1">
      <alignment horizontal="center"/>
      <protection locked="0"/>
    </xf>
    <xf numFmtId="0" fontId="3" fillId="0" borderId="0" xfId="4" applyProtection="1">
      <protection locked="0"/>
    </xf>
    <xf numFmtId="0" fontId="3" fillId="0" borderId="0" xfId="4" applyAlignment="1" applyProtection="1">
      <alignment horizontal="center"/>
      <protection locked="0"/>
    </xf>
    <xf numFmtId="0" fontId="3" fillId="0" borderId="0" xfId="4" applyFont="1" applyProtection="1">
      <protection locked="0"/>
    </xf>
    <xf numFmtId="165" fontId="3" fillId="0" borderId="0" xfId="4" applyNumberFormat="1" applyAlignment="1" applyProtection="1">
      <alignment horizontal="center"/>
      <protection locked="0"/>
    </xf>
    <xf numFmtId="171" fontId="3" fillId="0" borderId="0" xfId="4" applyNumberFormat="1" applyAlignment="1" applyProtection="1">
      <alignment horizontal="center"/>
      <protection locked="0"/>
    </xf>
    <xf numFmtId="0" fontId="3" fillId="0" borderId="0" xfId="4" applyFont="1" applyAlignment="1" applyProtection="1">
      <alignment horizontal="center"/>
      <protection locked="0"/>
    </xf>
    <xf numFmtId="0" fontId="3" fillId="0" borderId="0" xfId="4" applyFont="1" applyFill="1" applyProtection="1">
      <protection locked="0"/>
    </xf>
    <xf numFmtId="0" fontId="3" fillId="0" borderId="0" xfId="4" applyFill="1" applyProtection="1">
      <protection locked="0"/>
    </xf>
    <xf numFmtId="0" fontId="3" fillId="0" borderId="0" xfId="4" applyFill="1" applyAlignment="1" applyProtection="1">
      <alignment horizontal="center"/>
      <protection locked="0"/>
    </xf>
    <xf numFmtId="0" fontId="3" fillId="0" borderId="0" xfId="4" applyAlignment="1" applyProtection="1">
      <alignment horizontal="right"/>
      <protection locked="0"/>
    </xf>
    <xf numFmtId="169" fontId="3" fillId="0" borderId="0" xfId="4" applyNumberFormat="1" applyAlignment="1" applyProtection="1">
      <alignment horizontal="center"/>
      <protection locked="0"/>
    </xf>
    <xf numFmtId="0" fontId="18" fillId="2" borderId="0" xfId="0" applyFont="1" applyFill="1" applyBorder="1" applyAlignment="1" applyProtection="1">
      <alignment horizontal="center"/>
      <protection locked="0"/>
    </xf>
    <xf numFmtId="9" fontId="18" fillId="2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ont="1"/>
    <xf numFmtId="0" fontId="16" fillId="3" borderId="0" xfId="0" applyNumberFormat="1" applyFont="1" applyFill="1" applyAlignment="1" applyProtection="1">
      <alignment horizontal="center"/>
      <protection hidden="1"/>
    </xf>
    <xf numFmtId="0" fontId="32" fillId="0" borderId="0" xfId="0" applyFont="1" applyProtection="1">
      <protection locked="0"/>
    </xf>
    <xf numFmtId="0" fontId="32" fillId="0" borderId="0" xfId="0" applyFont="1" applyAlignment="1" applyProtection="1">
      <alignment horizontal="center"/>
      <protection locked="0"/>
    </xf>
    <xf numFmtId="0" fontId="7" fillId="4" borderId="0" xfId="0" applyNumberFormat="1" applyFont="1" applyFill="1" applyBorder="1" applyAlignment="1" applyProtection="1">
      <alignment horizontal="center"/>
      <protection locked="0"/>
    </xf>
    <xf numFmtId="1" fontId="7" fillId="4" borderId="0" xfId="0" applyNumberFormat="1" applyFont="1" applyFill="1" applyBorder="1" applyAlignment="1" applyProtection="1">
      <alignment horizontal="center"/>
      <protection locked="0"/>
    </xf>
    <xf numFmtId="170" fontId="9" fillId="5" borderId="0" xfId="0" applyNumberFormat="1" applyFont="1" applyFill="1" applyBorder="1" applyAlignment="1">
      <alignment horizontal="center"/>
    </xf>
    <xf numFmtId="170" fontId="11" fillId="0" borderId="0" xfId="0" applyNumberFormat="1" applyFont="1"/>
    <xf numFmtId="3" fontId="32" fillId="0" borderId="0" xfId="0" applyNumberFormat="1" applyFont="1" applyFill="1" applyAlignment="1" applyProtection="1">
      <alignment horizontal="center"/>
      <protection hidden="1"/>
    </xf>
    <xf numFmtId="0" fontId="7" fillId="8" borderId="0" xfId="0" applyNumberFormat="1" applyFont="1" applyFill="1" applyBorder="1" applyAlignment="1" applyProtection="1">
      <alignment horizontal="center"/>
      <protection locked="0"/>
    </xf>
    <xf numFmtId="0" fontId="33" fillId="8" borderId="0" xfId="0" applyFont="1" applyFill="1" applyAlignment="1">
      <alignment horizontal="center"/>
    </xf>
    <xf numFmtId="0" fontId="11" fillId="8" borderId="0" xfId="0" applyFont="1" applyFill="1" applyProtection="1">
      <protection locked="0"/>
    </xf>
    <xf numFmtId="0" fontId="11" fillId="8" borderId="0" xfId="0" applyFont="1" applyFill="1" applyBorder="1" applyProtection="1">
      <protection locked="0"/>
    </xf>
    <xf numFmtId="0" fontId="0" fillId="8" borderId="0" xfId="0" applyFill="1" applyBorder="1" applyProtection="1">
      <protection locked="0"/>
    </xf>
    <xf numFmtId="168" fontId="9" fillId="8" borderId="0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2" fillId="0" borderId="0" xfId="0" applyFont="1"/>
    <xf numFmtId="165" fontId="11" fillId="0" borderId="0" xfId="0" applyNumberFormat="1" applyFont="1" applyFill="1"/>
    <xf numFmtId="0" fontId="14" fillId="0" borderId="0" xfId="1" applyFont="1" applyFill="1" applyBorder="1" applyProtection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8" fillId="0" borderId="3" xfId="0" applyFont="1" applyFill="1" applyBorder="1" applyAlignment="1" applyProtection="1">
      <alignment horizontal="center"/>
      <protection locked="0"/>
    </xf>
    <xf numFmtId="0" fontId="27" fillId="0" borderId="0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horizontal="right"/>
    </xf>
    <xf numFmtId="0" fontId="27" fillId="0" borderId="0" xfId="0" applyNumberFormat="1" applyFont="1" applyFill="1" applyBorder="1" applyAlignment="1" applyProtection="1"/>
    <xf numFmtId="0" fontId="27" fillId="0" borderId="0" xfId="0" applyFont="1" applyFill="1" applyBorder="1"/>
    <xf numFmtId="0" fontId="27" fillId="0" borderId="0" xfId="0" applyFont="1" applyFill="1" applyBorder="1" applyAlignment="1">
      <alignment horizontal="right"/>
    </xf>
    <xf numFmtId="0" fontId="27" fillId="0" borderId="0" xfId="0" applyFont="1" applyFill="1" applyBorder="1" applyAlignment="1">
      <alignment horizontal="left"/>
    </xf>
    <xf numFmtId="0" fontId="28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/>
    </xf>
    <xf numFmtId="0" fontId="27" fillId="0" borderId="0" xfId="0" applyFont="1" applyFill="1" applyBorder="1" applyAlignment="1">
      <alignment horizontal="center"/>
    </xf>
    <xf numFmtId="0" fontId="34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35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6" fillId="0" borderId="0" xfId="1" applyFont="1" applyFill="1" applyBorder="1" applyAlignment="1" applyProtection="1">
      <alignment vertical="center"/>
      <protection hidden="1"/>
    </xf>
    <xf numFmtId="0" fontId="11" fillId="0" borderId="0" xfId="0" applyFont="1" applyAlignment="1">
      <alignment horizontal="center" wrapText="1"/>
    </xf>
    <xf numFmtId="0" fontId="11" fillId="0" borderId="13" xfId="0" applyFont="1" applyBorder="1"/>
    <xf numFmtId="0" fontId="11" fillId="0" borderId="14" xfId="0" applyFont="1" applyBorder="1"/>
    <xf numFmtId="0" fontId="11" fillId="0" borderId="15" xfId="0" applyFont="1" applyBorder="1"/>
    <xf numFmtId="0" fontId="11" fillId="0" borderId="16" xfId="0" applyFont="1" applyBorder="1"/>
    <xf numFmtId="0" fontId="11" fillId="0" borderId="17" xfId="0" applyFont="1" applyBorder="1"/>
    <xf numFmtId="0" fontId="11" fillId="0" borderId="0" xfId="0" applyFont="1" applyAlignment="1">
      <alignment horizontal="center" vertical="center" wrapText="1"/>
    </xf>
    <xf numFmtId="0" fontId="11" fillId="0" borderId="18" xfId="0" applyFont="1" applyBorder="1"/>
    <xf numFmtId="0" fontId="11" fillId="0" borderId="19" xfId="0" applyFont="1" applyBorder="1"/>
    <xf numFmtId="0" fontId="11" fillId="0" borderId="20" xfId="0" applyFont="1" applyBorder="1"/>
    <xf numFmtId="0" fontId="11" fillId="0" borderId="19" xfId="0" applyFont="1" applyBorder="1" applyAlignment="1">
      <alignment horizontal="center"/>
    </xf>
    <xf numFmtId="0" fontId="11" fillId="0" borderId="7" xfId="0" applyFont="1" applyBorder="1"/>
    <xf numFmtId="0" fontId="13" fillId="0" borderId="7" xfId="0" applyFont="1" applyBorder="1"/>
    <xf numFmtId="0" fontId="11" fillId="0" borderId="7" xfId="0" applyFont="1" applyBorder="1" applyAlignment="1">
      <alignment horizontal="center"/>
    </xf>
    <xf numFmtId="0" fontId="13" fillId="0" borderId="6" xfId="0" applyFont="1" applyBorder="1"/>
    <xf numFmtId="0" fontId="13" fillId="0" borderId="7" xfId="0" applyFont="1" applyBorder="1" applyAlignment="1">
      <alignment horizontal="center"/>
    </xf>
    <xf numFmtId="0" fontId="11" fillId="0" borderId="6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3" fillId="0" borderId="0" xfId="0" applyFont="1" applyAlignment="1">
      <alignment horizontal="center"/>
    </xf>
    <xf numFmtId="0" fontId="11" fillId="0" borderId="21" xfId="0" applyFont="1" applyBorder="1"/>
    <xf numFmtId="0" fontId="11" fillId="0" borderId="22" xfId="0" applyFont="1" applyBorder="1"/>
    <xf numFmtId="0" fontId="12" fillId="0" borderId="0" xfId="0" applyFont="1" applyBorder="1" applyAlignment="1" applyProtection="1">
      <alignment horizontal="center"/>
      <protection locked="0"/>
    </xf>
    <xf numFmtId="0" fontId="11" fillId="0" borderId="2" xfId="0" applyFont="1" applyBorder="1"/>
    <xf numFmtId="0" fontId="11" fillId="0" borderId="12" xfId="0" applyFont="1" applyBorder="1" applyAlignment="1">
      <alignment horizontal="center" wrapText="1"/>
    </xf>
    <xf numFmtId="0" fontId="11" fillId="0" borderId="11" xfId="0" applyFont="1" applyBorder="1" applyAlignment="1">
      <alignment horizontal="center" vertical="top" wrapText="1"/>
    </xf>
    <xf numFmtId="0" fontId="12" fillId="0" borderId="0" xfId="0" applyFont="1" applyAlignment="1">
      <alignment horizontal="right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23" xfId="0" applyFont="1" applyBorder="1"/>
    <xf numFmtId="0" fontId="11" fillId="0" borderId="24" xfId="0" applyFont="1" applyBorder="1"/>
    <xf numFmtId="0" fontId="11" fillId="0" borderId="25" xfId="0" applyFont="1" applyBorder="1"/>
    <xf numFmtId="0" fontId="11" fillId="0" borderId="26" xfId="0" applyFont="1" applyBorder="1"/>
    <xf numFmtId="0" fontId="11" fillId="0" borderId="27" xfId="0" applyFont="1" applyBorder="1"/>
    <xf numFmtId="0" fontId="11" fillId="0" borderId="28" xfId="0" applyFont="1" applyBorder="1"/>
    <xf numFmtId="0" fontId="1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1" fillId="6" borderId="1" xfId="0" applyFont="1" applyFill="1" applyBorder="1"/>
    <xf numFmtId="0" fontId="21" fillId="6" borderId="0" xfId="0" applyFont="1" applyFill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0" xfId="0" applyFont="1" applyAlignment="1">
      <alignment horizontal="center"/>
    </xf>
    <xf numFmtId="165" fontId="13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Fill="1" applyAlignment="1">
      <alignment horizontal="right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4" xfId="0" applyFont="1" applyBorder="1"/>
    <xf numFmtId="0" fontId="11" fillId="0" borderId="10" xfId="0" applyFont="1" applyBorder="1" applyAlignment="1">
      <alignment horizontal="right"/>
    </xf>
    <xf numFmtId="0" fontId="11" fillId="0" borderId="10" xfId="0" applyFont="1" applyBorder="1" applyAlignment="1">
      <alignment horizontal="center"/>
    </xf>
    <xf numFmtId="0" fontId="11" fillId="0" borderId="5" xfId="0" applyFont="1" applyBorder="1"/>
    <xf numFmtId="0" fontId="11" fillId="0" borderId="1" xfId="0" applyFont="1" applyBorder="1" applyAlignment="1">
      <alignment horizontal="center"/>
    </xf>
    <xf numFmtId="0" fontId="11" fillId="0" borderId="9" xfId="0" applyFont="1" applyBorder="1"/>
    <xf numFmtId="0" fontId="13" fillId="0" borderId="10" xfId="0" applyFont="1" applyBorder="1"/>
    <xf numFmtId="0" fontId="13" fillId="0" borderId="5" xfId="0" applyFont="1" applyBorder="1"/>
    <xf numFmtId="0" fontId="12" fillId="0" borderId="0" xfId="0" applyFont="1" applyBorder="1" applyProtection="1">
      <protection locked="0"/>
    </xf>
    <xf numFmtId="165" fontId="11" fillId="0" borderId="0" xfId="0" applyNumberFormat="1" applyFont="1" applyBorder="1"/>
    <xf numFmtId="0" fontId="11" fillId="0" borderId="0" xfId="0" applyNumberFormat="1" applyFont="1"/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9" borderId="29" xfId="0" applyFont="1" applyFill="1" applyBorder="1"/>
    <xf numFmtId="0" fontId="11" fillId="9" borderId="30" xfId="0" applyFont="1" applyFill="1" applyBorder="1"/>
    <xf numFmtId="0" fontId="11" fillId="9" borderId="31" xfId="0" applyFont="1" applyFill="1" applyBorder="1"/>
    <xf numFmtId="0" fontId="24" fillId="9" borderId="13" xfId="0" applyFont="1" applyFill="1" applyBorder="1"/>
    <xf numFmtId="0" fontId="11" fillId="9" borderId="0" xfId="0" applyFont="1" applyFill="1" applyBorder="1"/>
    <xf numFmtId="0" fontId="11" fillId="9" borderId="14" xfId="0" applyFont="1" applyFill="1" applyBorder="1"/>
    <xf numFmtId="0" fontId="11" fillId="9" borderId="13" xfId="0" applyFont="1" applyFill="1" applyBorder="1"/>
    <xf numFmtId="0" fontId="11" fillId="9" borderId="15" xfId="0" applyFont="1" applyFill="1" applyBorder="1"/>
    <xf numFmtId="0" fontId="11" fillId="9" borderId="16" xfId="0" applyFont="1" applyFill="1" applyBorder="1"/>
    <xf numFmtId="0" fontId="11" fillId="9" borderId="17" xfId="0" applyFont="1" applyFill="1" applyBorder="1"/>
    <xf numFmtId="0" fontId="24" fillId="0" borderId="13" xfId="0" applyFont="1" applyFill="1" applyBorder="1"/>
    <xf numFmtId="0" fontId="11" fillId="0" borderId="13" xfId="0" applyFont="1" applyFill="1" applyBorder="1"/>
    <xf numFmtId="0" fontId="12" fillId="6" borderId="0" xfId="0" applyFont="1" applyFill="1" applyAlignment="1">
      <alignment horizontal="right"/>
    </xf>
    <xf numFmtId="0" fontId="11" fillId="6" borderId="0" xfId="0" applyFont="1" applyFill="1" applyAlignment="1">
      <alignment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11" fillId="7" borderId="0" xfId="0" applyFont="1" applyFill="1" applyAlignment="1">
      <alignment horizontal="center"/>
    </xf>
    <xf numFmtId="0" fontId="11" fillId="7" borderId="0" xfId="0" applyFont="1" applyFill="1"/>
    <xf numFmtId="0" fontId="11" fillId="7" borderId="0" xfId="0" applyFont="1" applyFill="1" applyBorder="1"/>
    <xf numFmtId="0" fontId="11" fillId="7" borderId="0" xfId="0" applyFont="1" applyFill="1" applyBorder="1" applyAlignment="1">
      <alignment horizontal="center"/>
    </xf>
    <xf numFmtId="0" fontId="11" fillId="7" borderId="0" xfId="0" applyFont="1" applyFill="1" applyBorder="1" applyAlignment="1">
      <alignment horizontal="right"/>
    </xf>
    <xf numFmtId="0" fontId="13" fillId="6" borderId="0" xfId="0" applyFont="1" applyFill="1"/>
    <xf numFmtId="0" fontId="21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" fontId="16" fillId="0" borderId="0" xfId="0" applyNumberFormat="1" applyFont="1" applyFill="1" applyBorder="1" applyAlignment="1" applyProtection="1">
      <alignment horizontal="center"/>
      <protection hidden="1"/>
    </xf>
    <xf numFmtId="9" fontId="16" fillId="0" borderId="0" xfId="2" applyFont="1" applyFill="1" applyAlignment="1" applyProtection="1">
      <alignment horizontal="center"/>
      <protection hidden="1"/>
    </xf>
    <xf numFmtId="167" fontId="16" fillId="0" borderId="0" xfId="0" applyNumberFormat="1" applyFont="1" applyFill="1" applyBorder="1" applyAlignment="1" applyProtection="1">
      <alignment horizontal="center"/>
      <protection hidden="1"/>
    </xf>
    <xf numFmtId="0" fontId="11" fillId="10" borderId="0" xfId="0" applyFont="1" applyFill="1" applyProtection="1">
      <protection hidden="1"/>
    </xf>
    <xf numFmtId="0" fontId="12" fillId="10" borderId="0" xfId="0" applyFont="1" applyFill="1" applyAlignment="1" applyProtection="1">
      <alignment horizontal="right"/>
      <protection hidden="1"/>
    </xf>
    <xf numFmtId="0" fontId="11" fillId="10" borderId="0" xfId="0" applyFont="1" applyFill="1" applyAlignment="1" applyProtection="1">
      <alignment wrapText="1"/>
      <protection hidden="1"/>
    </xf>
    <xf numFmtId="0" fontId="11" fillId="0" borderId="0" xfId="0" applyFont="1" applyAlignment="1" applyProtection="1">
      <alignment horizontal="center" wrapText="1"/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center" vertical="top" wrapText="1"/>
      <protection hidden="1"/>
    </xf>
    <xf numFmtId="0" fontId="11" fillId="0" borderId="0" xfId="0" applyFont="1" applyBorder="1" applyAlignment="1" applyProtection="1">
      <alignment horizontal="center" wrapText="1"/>
      <protection hidden="1"/>
    </xf>
    <xf numFmtId="0" fontId="11" fillId="0" borderId="0" xfId="0" applyFont="1" applyAlignment="1" applyProtection="1">
      <alignment wrapText="1"/>
      <protection hidden="1"/>
    </xf>
    <xf numFmtId="0" fontId="14" fillId="0" borderId="0" xfId="1" applyFont="1" applyFill="1" applyBorder="1" applyProtection="1">
      <protection hidden="1"/>
    </xf>
    <xf numFmtId="0" fontId="12" fillId="0" borderId="0" xfId="0" applyFont="1" applyAlignment="1" applyProtection="1">
      <alignment horizontal="center"/>
      <protection locked="0" hidden="1"/>
    </xf>
    <xf numFmtId="3" fontId="11" fillId="0" borderId="0" xfId="0" applyNumberFormat="1" applyFont="1" applyProtection="1">
      <protection hidden="1"/>
    </xf>
    <xf numFmtId="0" fontId="11" fillId="0" borderId="0" xfId="0" applyFont="1" applyFill="1" applyAlignment="1" applyProtection="1">
      <alignment horizontal="right"/>
      <protection hidden="1"/>
    </xf>
    <xf numFmtId="0" fontId="15" fillId="0" borderId="0" xfId="0" applyFont="1" applyFill="1" applyBorder="1" applyAlignment="1" applyProtection="1">
      <alignment horizontal="center"/>
      <protection locked="0" hidden="1"/>
    </xf>
    <xf numFmtId="0" fontId="14" fillId="0" borderId="0" xfId="0" applyFont="1" applyProtection="1">
      <protection locked="0" hidden="1"/>
    </xf>
    <xf numFmtId="0" fontId="11" fillId="0" borderId="0" xfId="0" applyFont="1" applyFill="1" applyAlignment="1" applyProtection="1">
      <alignment horizontal="center"/>
      <protection hidden="1"/>
    </xf>
    <xf numFmtId="0" fontId="17" fillId="0" borderId="0" xfId="0" applyFont="1" applyFill="1" applyBorder="1" applyAlignment="1" applyProtection="1">
      <alignment horizontal="left"/>
      <protection hidden="1"/>
    </xf>
    <xf numFmtId="0" fontId="12" fillId="0" borderId="0" xfId="0" applyFont="1" applyProtection="1">
      <protection locked="0" hidden="1"/>
    </xf>
    <xf numFmtId="0" fontId="11" fillId="0" borderId="18" xfId="0" applyFont="1" applyBorder="1" applyProtection="1">
      <protection hidden="1"/>
    </xf>
    <xf numFmtId="0" fontId="11" fillId="0" borderId="19" xfId="0" applyFont="1" applyBorder="1" applyProtection="1">
      <protection hidden="1"/>
    </xf>
    <xf numFmtId="0" fontId="11" fillId="0" borderId="19" xfId="0" applyFont="1" applyBorder="1" applyAlignment="1" applyProtection="1">
      <alignment horizontal="center"/>
      <protection hidden="1"/>
    </xf>
    <xf numFmtId="0" fontId="11" fillId="0" borderId="20" xfId="0" applyFont="1" applyBorder="1" applyProtection="1">
      <protection hidden="1"/>
    </xf>
    <xf numFmtId="0" fontId="11" fillId="0" borderId="23" xfId="0" applyFont="1" applyBorder="1" applyProtection="1">
      <protection hidden="1"/>
    </xf>
    <xf numFmtId="0" fontId="11" fillId="0" borderId="24" xfId="0" applyFont="1" applyBorder="1" applyProtection="1">
      <protection hidden="1"/>
    </xf>
    <xf numFmtId="0" fontId="11" fillId="0" borderId="25" xfId="0" applyFont="1" applyBorder="1" applyProtection="1">
      <protection hidden="1"/>
    </xf>
    <xf numFmtId="0" fontId="11" fillId="0" borderId="6" xfId="0" applyFont="1" applyBorder="1" applyProtection="1">
      <protection hidden="1"/>
    </xf>
    <xf numFmtId="0" fontId="11" fillId="0" borderId="7" xfId="0" applyFont="1" applyBorder="1" applyProtection="1">
      <protection hidden="1"/>
    </xf>
    <xf numFmtId="0" fontId="11" fillId="0" borderId="7" xfId="0" applyFont="1" applyBorder="1" applyAlignment="1" applyProtection="1">
      <alignment horizontal="right"/>
      <protection hidden="1"/>
    </xf>
    <xf numFmtId="0" fontId="11" fillId="0" borderId="21" xfId="0" applyFont="1" applyBorder="1" applyProtection="1">
      <protection hidden="1"/>
    </xf>
    <xf numFmtId="0" fontId="11" fillId="0" borderId="22" xfId="0" applyFont="1" applyBorder="1" applyProtection="1">
      <protection hidden="1"/>
    </xf>
    <xf numFmtId="0" fontId="11" fillId="0" borderId="13" xfId="0" applyFont="1" applyBorder="1" applyAlignment="1" applyProtection="1">
      <alignment horizontal="center"/>
      <protection hidden="1"/>
    </xf>
    <xf numFmtId="0" fontId="11" fillId="0" borderId="0" xfId="0" applyFont="1" applyBorder="1" applyProtection="1">
      <protection hidden="1"/>
    </xf>
    <xf numFmtId="0" fontId="12" fillId="0" borderId="0" xfId="0" applyFont="1" applyBorder="1" applyAlignment="1" applyProtection="1">
      <alignment horizontal="center"/>
      <protection locked="0" hidden="1"/>
    </xf>
    <xf numFmtId="0" fontId="11" fillId="0" borderId="14" xfId="0" applyFont="1" applyBorder="1" applyAlignment="1" applyProtection="1">
      <alignment horizontal="center"/>
      <protection hidden="1"/>
    </xf>
    <xf numFmtId="0" fontId="11" fillId="0" borderId="6" xfId="0" applyFont="1" applyBorder="1" applyAlignment="1" applyProtection="1">
      <alignment horizontal="right"/>
      <protection hidden="1"/>
    </xf>
    <xf numFmtId="0" fontId="11" fillId="0" borderId="7" xfId="0" applyFont="1" applyBorder="1" applyAlignment="1" applyProtection="1">
      <alignment horizontal="center"/>
      <protection hidden="1"/>
    </xf>
    <xf numFmtId="0" fontId="11" fillId="0" borderId="13" xfId="0" applyFont="1" applyBorder="1" applyProtection="1"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11" fillId="0" borderId="14" xfId="0" applyFont="1" applyBorder="1" applyProtection="1">
      <protection hidden="1"/>
    </xf>
    <xf numFmtId="0" fontId="18" fillId="0" borderId="0" xfId="0" applyFont="1" applyFill="1" applyBorder="1" applyAlignment="1" applyProtection="1">
      <alignment horizontal="center"/>
      <protection locked="0" hidden="1"/>
    </xf>
    <xf numFmtId="0" fontId="14" fillId="0" borderId="0" xfId="0" quotePrefix="1" applyFont="1" applyAlignment="1" applyProtection="1">
      <alignment horizontal="left"/>
      <protection locked="0" hidden="1"/>
    </xf>
    <xf numFmtId="0" fontId="24" fillId="0" borderId="0" xfId="0" applyFont="1" applyAlignment="1" applyProtection="1">
      <alignment horizontal="center"/>
      <protection hidden="1"/>
    </xf>
    <xf numFmtId="0" fontId="18" fillId="2" borderId="3" xfId="0" applyFont="1" applyFill="1" applyBorder="1" applyAlignment="1" applyProtection="1">
      <alignment horizontal="center"/>
      <protection locked="0" hidden="1"/>
    </xf>
    <xf numFmtId="0" fontId="11" fillId="0" borderId="32" xfId="0" applyFont="1" applyBorder="1" applyProtection="1">
      <protection hidden="1"/>
    </xf>
    <xf numFmtId="0" fontId="11" fillId="0" borderId="26" xfId="0" applyFont="1" applyBorder="1" applyProtection="1">
      <protection hidden="1"/>
    </xf>
    <xf numFmtId="0" fontId="11" fillId="0" borderId="2" xfId="0" applyFont="1" applyBorder="1" applyProtection="1"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14" fillId="0" borderId="6" xfId="0" applyFont="1" applyBorder="1" applyProtection="1">
      <protection hidden="1"/>
    </xf>
    <xf numFmtId="0" fontId="14" fillId="0" borderId="7" xfId="0" applyFont="1" applyBorder="1" applyProtection="1">
      <protection hidden="1"/>
    </xf>
    <xf numFmtId="0" fontId="11" fillId="0" borderId="27" xfId="0" applyFont="1" applyBorder="1" applyProtection="1">
      <protection hidden="1"/>
    </xf>
    <xf numFmtId="0" fontId="11" fillId="0" borderId="10" xfId="0" applyFont="1" applyBorder="1" applyProtection="1">
      <protection hidden="1"/>
    </xf>
    <xf numFmtId="0" fontId="11" fillId="0" borderId="28" xfId="0" applyFont="1" applyBorder="1" applyProtection="1">
      <protection hidden="1"/>
    </xf>
    <xf numFmtId="0" fontId="24" fillId="0" borderId="4" xfId="0" applyFont="1" applyBorder="1" applyProtection="1">
      <protection hidden="1"/>
    </xf>
    <xf numFmtId="0" fontId="11" fillId="0" borderId="6" xfId="0" applyFont="1" applyBorder="1" applyAlignment="1" applyProtection="1">
      <alignment horizontal="left"/>
      <protection hidden="1"/>
    </xf>
    <xf numFmtId="0" fontId="24" fillId="0" borderId="0" xfId="0" applyFont="1" applyBorder="1" applyProtection="1">
      <protection hidden="1"/>
    </xf>
    <xf numFmtId="0" fontId="11" fillId="0" borderId="15" xfId="0" applyFont="1" applyBorder="1" applyProtection="1">
      <protection hidden="1"/>
    </xf>
    <xf numFmtId="0" fontId="11" fillId="0" borderId="16" xfId="0" applyFont="1" applyBorder="1" applyProtection="1">
      <protection hidden="1"/>
    </xf>
    <xf numFmtId="0" fontId="11" fillId="0" borderId="17" xfId="0" applyFont="1" applyBorder="1" applyProtection="1">
      <protection hidden="1"/>
    </xf>
    <xf numFmtId="0" fontId="11" fillId="0" borderId="6" xfId="0" applyFont="1" applyBorder="1" applyAlignment="1" applyProtection="1">
      <alignment horizontal="center"/>
      <protection hidden="1"/>
    </xf>
    <xf numFmtId="165" fontId="11" fillId="0" borderId="0" xfId="0" applyNumberFormat="1" applyFont="1" applyBorder="1" applyAlignment="1" applyProtection="1">
      <alignment horizontal="center"/>
      <protection hidden="1"/>
    </xf>
    <xf numFmtId="1" fontId="11" fillId="0" borderId="0" xfId="0" applyNumberFormat="1" applyFont="1" applyBorder="1" applyAlignment="1" applyProtection="1">
      <alignment horizontal="center"/>
      <protection hidden="1"/>
    </xf>
    <xf numFmtId="165" fontId="11" fillId="0" borderId="0" xfId="0" applyNumberFormat="1" applyFont="1" applyProtection="1">
      <protection hidden="1"/>
    </xf>
    <xf numFmtId="1" fontId="11" fillId="0" borderId="0" xfId="0" applyNumberFormat="1" applyFont="1" applyAlignment="1" applyProtection="1">
      <alignment horizontal="center"/>
      <protection hidden="1"/>
    </xf>
    <xf numFmtId="9" fontId="11" fillId="0" borderId="0" xfId="2" applyFont="1" applyBorder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11" fillId="0" borderId="4" xfId="0" applyFont="1" applyBorder="1" applyProtection="1">
      <protection hidden="1"/>
    </xf>
    <xf numFmtId="0" fontId="11" fillId="0" borderId="10" xfId="0" applyFont="1" applyBorder="1" applyAlignment="1" applyProtection="1">
      <alignment horizontal="right"/>
      <protection hidden="1"/>
    </xf>
    <xf numFmtId="0" fontId="11" fillId="0" borderId="10" xfId="0" applyFont="1" applyBorder="1" applyAlignment="1" applyProtection="1">
      <alignment horizontal="center"/>
      <protection hidden="1"/>
    </xf>
    <xf numFmtId="0" fontId="11" fillId="0" borderId="5" xfId="0" applyFont="1" applyBorder="1" applyProtection="1">
      <protection hidden="1"/>
    </xf>
    <xf numFmtId="0" fontId="13" fillId="10" borderId="0" xfId="0" applyFont="1" applyFill="1" applyProtection="1">
      <protection hidden="1"/>
    </xf>
    <xf numFmtId="0" fontId="11" fillId="0" borderId="8" xfId="0" applyFont="1" applyBorder="1" applyProtection="1">
      <protection hidden="1"/>
    </xf>
    <xf numFmtId="0" fontId="11" fillId="0" borderId="1" xfId="0" applyFont="1" applyBorder="1" applyProtection="1"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11" fillId="0" borderId="9" xfId="0" applyFont="1" applyBorder="1" applyProtection="1">
      <protection hidden="1"/>
    </xf>
    <xf numFmtId="0" fontId="13" fillId="0" borderId="0" xfId="0" applyFont="1" applyBorder="1" applyProtection="1">
      <protection hidden="1"/>
    </xf>
    <xf numFmtId="0" fontId="13" fillId="0" borderId="0" xfId="0" applyFont="1" applyBorder="1" applyAlignment="1" applyProtection="1">
      <alignment horizontal="center"/>
      <protection hidden="1"/>
    </xf>
    <xf numFmtId="165" fontId="13" fillId="0" borderId="0" xfId="0" applyNumberFormat="1" applyFont="1" applyProtection="1">
      <protection hidden="1"/>
    </xf>
    <xf numFmtId="0" fontId="1" fillId="0" borderId="7" xfId="0" applyFont="1" applyBorder="1" applyProtection="1">
      <protection hidden="1"/>
    </xf>
    <xf numFmtId="0" fontId="13" fillId="0" borderId="7" xfId="0" applyFont="1" applyBorder="1" applyProtection="1">
      <protection hidden="1"/>
    </xf>
    <xf numFmtId="0" fontId="13" fillId="0" borderId="6" xfId="0" applyFont="1" applyBorder="1" applyProtection="1">
      <protection hidden="1"/>
    </xf>
    <xf numFmtId="0" fontId="13" fillId="0" borderId="7" xfId="0" applyFont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3" fillId="0" borderId="10" xfId="0" applyFont="1" applyBorder="1" applyProtection="1">
      <protection hidden="1"/>
    </xf>
    <xf numFmtId="0" fontId="13" fillId="0" borderId="5" xfId="0" applyFont="1" applyBorder="1" applyProtection="1">
      <protection hidden="1"/>
    </xf>
    <xf numFmtId="0" fontId="24" fillId="0" borderId="0" xfId="0" applyFont="1" applyProtection="1">
      <protection hidden="1"/>
    </xf>
    <xf numFmtId="0" fontId="1" fillId="0" borderId="6" xfId="0" applyFont="1" applyBorder="1" applyProtection="1">
      <protection hidden="1"/>
    </xf>
    <xf numFmtId="9" fontId="11" fillId="0" borderId="0" xfId="0" applyNumberFormat="1" applyFont="1" applyBorder="1" applyProtection="1">
      <protection hidden="1"/>
    </xf>
    <xf numFmtId="165" fontId="11" fillId="0" borderId="1" xfId="0" applyNumberFormat="1" applyFont="1" applyBorder="1" applyAlignment="1" applyProtection="1">
      <alignment horizontal="center"/>
      <protection hidden="1"/>
    </xf>
    <xf numFmtId="0" fontId="24" fillId="0" borderId="4" xfId="0" applyFont="1" applyFill="1" applyBorder="1" applyProtection="1">
      <protection hidden="1"/>
    </xf>
    <xf numFmtId="0" fontId="11" fillId="0" borderId="10" xfId="0" applyFont="1" applyFill="1" applyBorder="1" applyProtection="1">
      <protection hidden="1"/>
    </xf>
    <xf numFmtId="0" fontId="11" fillId="0" borderId="6" xfId="0" applyFont="1" applyFill="1" applyBorder="1" applyAlignment="1" applyProtection="1">
      <alignment horizontal="left"/>
      <protection hidden="1"/>
    </xf>
    <xf numFmtId="0" fontId="11" fillId="0" borderId="0" xfId="0" applyFont="1" applyFill="1" applyBorder="1" applyAlignment="1" applyProtection="1">
      <alignment horizontal="center"/>
      <protection hidden="1"/>
    </xf>
    <xf numFmtId="0" fontId="11" fillId="0" borderId="6" xfId="0" applyFont="1" applyFill="1" applyBorder="1" applyProtection="1">
      <protection hidden="1"/>
    </xf>
    <xf numFmtId="0" fontId="24" fillId="0" borderId="0" xfId="0" applyFont="1" applyFill="1" applyBorder="1" applyProtection="1">
      <protection hidden="1"/>
    </xf>
    <xf numFmtId="0" fontId="11" fillId="0" borderId="6" xfId="0" applyFont="1" applyFill="1" applyBorder="1" applyAlignment="1" applyProtection="1">
      <alignment horizontal="center"/>
      <protection hidden="1"/>
    </xf>
    <xf numFmtId="165" fontId="11" fillId="0" borderId="0" xfId="0" applyNumberFormat="1" applyFont="1" applyFill="1" applyBorder="1" applyAlignment="1" applyProtection="1">
      <alignment horizontal="center"/>
      <protection hidden="1"/>
    </xf>
    <xf numFmtId="1" fontId="11" fillId="0" borderId="0" xfId="0" applyNumberFormat="1" applyFont="1" applyFill="1" applyBorder="1" applyAlignment="1" applyProtection="1">
      <alignment horizontal="center"/>
      <protection hidden="1"/>
    </xf>
    <xf numFmtId="9" fontId="11" fillId="0" borderId="0" xfId="2" applyFont="1" applyFill="1" applyBorder="1" applyAlignment="1" applyProtection="1">
      <alignment horizontal="center"/>
      <protection hidden="1"/>
    </xf>
    <xf numFmtId="165" fontId="11" fillId="0" borderId="0" xfId="0" applyNumberFormat="1" applyFont="1" applyFill="1" applyProtection="1">
      <protection hidden="1"/>
    </xf>
    <xf numFmtId="0" fontId="12" fillId="0" borderId="0" xfId="0" applyFont="1" applyProtection="1">
      <protection hidden="1"/>
    </xf>
    <xf numFmtId="0" fontId="17" fillId="11" borderId="3" xfId="0" applyFont="1" applyFill="1" applyBorder="1" applyAlignment="1" applyProtection="1">
      <alignment horizontal="center"/>
      <protection hidden="1"/>
    </xf>
    <xf numFmtId="0" fontId="26" fillId="0" borderId="0" xfId="0" applyFont="1" applyBorder="1" applyAlignment="1" applyProtection="1">
      <alignment horizontal="right"/>
      <protection hidden="1"/>
    </xf>
    <xf numFmtId="1" fontId="11" fillId="0" borderId="0" xfId="0" applyNumberFormat="1" applyFont="1" applyFill="1" applyProtection="1">
      <protection hidden="1"/>
    </xf>
    <xf numFmtId="0" fontId="13" fillId="0" borderId="0" xfId="0" applyFont="1" applyFill="1" applyBorder="1" applyProtection="1">
      <protection hidden="1"/>
    </xf>
    <xf numFmtId="165" fontId="13" fillId="0" borderId="0" xfId="0" applyNumberFormat="1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center"/>
      <protection hidden="1"/>
    </xf>
    <xf numFmtId="9" fontId="11" fillId="0" borderId="0" xfId="0" applyNumberFormat="1" applyFont="1" applyFill="1" applyBorder="1" applyProtection="1">
      <protection hidden="1"/>
    </xf>
    <xf numFmtId="0" fontId="11" fillId="0" borderId="8" xfId="0" applyFont="1" applyFill="1" applyBorder="1" applyProtection="1">
      <protection hidden="1"/>
    </xf>
    <xf numFmtId="0" fontId="11" fillId="0" borderId="1" xfId="0" applyFont="1" applyFill="1" applyBorder="1" applyProtection="1">
      <protection hidden="1"/>
    </xf>
    <xf numFmtId="165" fontId="11" fillId="0" borderId="1" xfId="0" applyNumberFormat="1" applyFont="1" applyFill="1" applyBorder="1" applyAlignment="1" applyProtection="1">
      <alignment horizontal="center"/>
      <protection hidden="1"/>
    </xf>
    <xf numFmtId="0" fontId="18" fillId="0" borderId="3" xfId="0" applyFont="1" applyFill="1" applyBorder="1" applyAlignment="1" applyProtection="1">
      <alignment horizontal="center"/>
      <protection locked="0" hidden="1"/>
    </xf>
    <xf numFmtId="165" fontId="11" fillId="0" borderId="0" xfId="0" applyNumberFormat="1" applyFont="1" applyBorder="1" applyProtection="1">
      <protection hidden="1"/>
    </xf>
    <xf numFmtId="2" fontId="21" fillId="0" borderId="0" xfId="0" applyNumberFormat="1" applyFont="1" applyAlignment="1" applyProtection="1">
      <alignment horizontal="center"/>
      <protection hidden="1"/>
    </xf>
    <xf numFmtId="2" fontId="21" fillId="0" borderId="0" xfId="0" applyNumberFormat="1" applyFont="1" applyProtection="1">
      <protection hidden="1"/>
    </xf>
    <xf numFmtId="0" fontId="26" fillId="0" borderId="0" xfId="0" applyFont="1" applyBorder="1" applyProtection="1">
      <protection hidden="1"/>
    </xf>
    <xf numFmtId="0" fontId="25" fillId="0" borderId="0" xfId="0" applyFont="1" applyProtection="1">
      <protection hidden="1"/>
    </xf>
    <xf numFmtId="1" fontId="11" fillId="0" borderId="0" xfId="0" applyNumberFormat="1" applyFont="1" applyFill="1" applyAlignment="1" applyProtection="1">
      <alignment horizontal="center"/>
      <protection hidden="1"/>
    </xf>
    <xf numFmtId="0" fontId="21" fillId="0" borderId="0" xfId="0" applyFont="1" applyFill="1" applyAlignment="1" applyProtection="1">
      <alignment horizontal="center"/>
      <protection hidden="1"/>
    </xf>
    <xf numFmtId="0" fontId="11" fillId="0" borderId="3" xfId="0" applyFont="1" applyBorder="1" applyAlignment="1" applyProtection="1">
      <alignment horizontal="center"/>
      <protection hidden="1"/>
    </xf>
    <xf numFmtId="0" fontId="11" fillId="0" borderId="11" xfId="0" applyFont="1" applyBorder="1" applyAlignment="1" applyProtection="1">
      <alignment horizontal="center"/>
      <protection hidden="1"/>
    </xf>
    <xf numFmtId="0" fontId="11" fillId="0" borderId="11" xfId="0" applyFont="1" applyBorder="1" applyProtection="1">
      <protection hidden="1"/>
    </xf>
    <xf numFmtId="1" fontId="11" fillId="0" borderId="0" xfId="0" applyNumberFormat="1" applyFont="1" applyProtection="1">
      <protection hidden="1"/>
    </xf>
    <xf numFmtId="9" fontId="11" fillId="0" borderId="0" xfId="2" applyFont="1" applyProtection="1">
      <protection hidden="1"/>
    </xf>
    <xf numFmtId="165" fontId="11" fillId="0" borderId="0" xfId="2" applyNumberFormat="1" applyFont="1" applyProtection="1">
      <protection hidden="1"/>
    </xf>
    <xf numFmtId="9" fontId="11" fillId="0" borderId="0" xfId="0" applyNumberFormat="1" applyFont="1" applyProtection="1">
      <protection hidden="1"/>
    </xf>
    <xf numFmtId="0" fontId="11" fillId="0" borderId="0" xfId="0" applyFont="1" applyFill="1" applyBorder="1" applyAlignment="1" applyProtection="1">
      <alignment horizontal="right"/>
      <protection hidden="1"/>
    </xf>
    <xf numFmtId="0" fontId="11" fillId="0" borderId="0" xfId="0" applyFont="1" applyBorder="1" applyAlignment="1" applyProtection="1">
      <alignment horizontal="left"/>
      <protection hidden="1"/>
    </xf>
    <xf numFmtId="0" fontId="11" fillId="0" borderId="0" xfId="0" applyFont="1" applyFill="1" applyBorder="1" applyAlignment="1" applyProtection="1">
      <alignment horizontal="left"/>
      <protection hidden="1"/>
    </xf>
    <xf numFmtId="0" fontId="11" fillId="0" borderId="0" xfId="0" applyFont="1" applyAlignment="1" applyProtection="1">
      <alignment horizontal="left"/>
      <protection hidden="1"/>
    </xf>
    <xf numFmtId="0" fontId="21" fillId="7" borderId="0" xfId="0" applyFont="1" applyFill="1" applyAlignment="1" applyProtection="1">
      <alignment horizontal="center"/>
      <protection hidden="1"/>
    </xf>
    <xf numFmtId="2" fontId="21" fillId="7" borderId="0" xfId="0" applyNumberFormat="1" applyFont="1" applyFill="1" applyAlignment="1" applyProtection="1">
      <alignment horizontal="center"/>
      <protection hidden="1"/>
    </xf>
    <xf numFmtId="3" fontId="21" fillId="7" borderId="0" xfId="0" applyNumberFormat="1" applyFont="1" applyFill="1" applyAlignment="1" applyProtection="1">
      <alignment horizontal="center"/>
      <protection hidden="1"/>
    </xf>
    <xf numFmtId="0" fontId="21" fillId="7" borderId="0" xfId="0" applyNumberFormat="1" applyFont="1" applyFill="1" applyAlignment="1" applyProtection="1">
      <alignment horizontal="center"/>
      <protection hidden="1"/>
    </xf>
    <xf numFmtId="0" fontId="11" fillId="0" borderId="0" xfId="0" applyNumberFormat="1" applyFont="1" applyProtection="1">
      <protection hidden="1"/>
    </xf>
    <xf numFmtId="0" fontId="24" fillId="6" borderId="0" xfId="0" applyFont="1" applyFill="1" applyProtection="1">
      <protection hidden="1"/>
    </xf>
    <xf numFmtId="0" fontId="11" fillId="6" borderId="0" xfId="0" applyFont="1" applyFill="1" applyProtection="1">
      <protection hidden="1"/>
    </xf>
    <xf numFmtId="3" fontId="9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2" fontId="7" fillId="0" borderId="0" xfId="0" applyNumberFormat="1" applyFont="1" applyFill="1" applyBorder="1" applyAlignment="1" applyProtection="1">
      <alignment horizontal="center"/>
      <protection locked="0" hidden="1"/>
    </xf>
    <xf numFmtId="1" fontId="7" fillId="0" borderId="0" xfId="0" applyNumberFormat="1" applyFont="1" applyFill="1" applyBorder="1" applyAlignment="1" applyProtection="1">
      <alignment horizontal="center"/>
      <protection locked="0" hidden="1"/>
    </xf>
    <xf numFmtId="0" fontId="27" fillId="0" borderId="0" xfId="0" applyNumberFormat="1" applyFont="1" applyFill="1" applyBorder="1" applyAlignment="1" applyProtection="1">
      <alignment horizontal="left"/>
      <protection hidden="1"/>
    </xf>
    <xf numFmtId="0" fontId="27" fillId="0" borderId="0" xfId="0" applyFont="1" applyFill="1" applyBorder="1" applyAlignment="1" applyProtection="1">
      <alignment horizontal="left"/>
      <protection hidden="1"/>
    </xf>
    <xf numFmtId="0" fontId="27" fillId="0" borderId="0" xfId="0" applyNumberFormat="1" applyFont="1" applyFill="1" applyBorder="1" applyAlignment="1" applyProtection="1">
      <protection hidden="1"/>
    </xf>
    <xf numFmtId="0" fontId="27" fillId="0" borderId="0" xfId="0" applyFont="1" applyFill="1" applyBorder="1" applyAlignment="1" applyProtection="1">
      <alignment horizontal="right"/>
      <protection hidden="1"/>
    </xf>
    <xf numFmtId="0" fontId="27" fillId="0" borderId="0" xfId="0" applyNumberFormat="1" applyFont="1" applyFill="1" applyBorder="1" applyAlignment="1" applyProtection="1">
      <alignment horizontal="center"/>
      <protection hidden="1"/>
    </xf>
    <xf numFmtId="0" fontId="27" fillId="0" borderId="0" xfId="0" applyNumberFormat="1" applyFont="1" applyFill="1" applyBorder="1" applyAlignment="1" applyProtection="1">
      <alignment horizontal="right"/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0" fontId="27" fillId="0" borderId="0" xfId="0" applyFont="1" applyFill="1" applyBorder="1" applyProtection="1">
      <protection hidden="1"/>
    </xf>
    <xf numFmtId="167" fontId="11" fillId="0" borderId="0" xfId="0" applyNumberFormat="1" applyFont="1" applyProtection="1">
      <protection hidden="1"/>
    </xf>
    <xf numFmtId="0" fontId="28" fillId="0" borderId="0" xfId="0" applyNumberFormat="1" applyFont="1" applyFill="1" applyBorder="1" applyAlignment="1" applyProtection="1">
      <protection hidden="1"/>
    </xf>
    <xf numFmtId="0" fontId="24" fillId="0" borderId="0" xfId="0" applyFont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31" fillId="0" borderId="0" xfId="0" applyFont="1" applyProtection="1">
      <protection locked="0" hidden="1"/>
    </xf>
    <xf numFmtId="0" fontId="7" fillId="4" borderId="0" xfId="0" applyNumberFormat="1" applyFont="1" applyFill="1" applyBorder="1" applyAlignment="1" applyProtection="1">
      <alignment horizontal="center"/>
      <protection locked="0" hidden="1"/>
    </xf>
    <xf numFmtId="0" fontId="25" fillId="0" borderId="0" xfId="0" applyFont="1" applyAlignment="1" applyProtection="1">
      <alignment horizontal="center"/>
      <protection hidden="1"/>
    </xf>
    <xf numFmtId="1" fontId="7" fillId="4" borderId="0" xfId="0" applyNumberFormat="1" applyFont="1" applyFill="1" applyBorder="1" applyAlignment="1" applyProtection="1">
      <alignment horizontal="center"/>
      <protection locked="0" hidden="1"/>
    </xf>
    <xf numFmtId="0" fontId="12" fillId="0" borderId="0" xfId="0" applyFont="1" applyBorder="1" applyProtection="1">
      <protection locked="0" hidden="1"/>
    </xf>
    <xf numFmtId="170" fontId="9" fillId="5" borderId="0" xfId="0" applyNumberFormat="1" applyFont="1" applyFill="1" applyBorder="1" applyAlignment="1" applyProtection="1">
      <alignment horizontal="center"/>
      <protection hidden="1"/>
    </xf>
    <xf numFmtId="2" fontId="11" fillId="0" borderId="0" xfId="0" applyNumberFormat="1" applyFont="1" applyAlignment="1" applyProtection="1">
      <alignment horizontal="center"/>
      <protection hidden="1"/>
    </xf>
    <xf numFmtId="170" fontId="11" fillId="0" borderId="0" xfId="0" applyNumberFormat="1" applyFont="1" applyProtection="1">
      <protection hidden="1"/>
    </xf>
    <xf numFmtId="169" fontId="11" fillId="0" borderId="0" xfId="0" applyNumberFormat="1" applyFont="1" applyProtection="1">
      <protection hidden="1"/>
    </xf>
    <xf numFmtId="0" fontId="0" fillId="0" borderId="0" xfId="0" applyProtection="1">
      <protection locked="0" hidden="1"/>
    </xf>
    <xf numFmtId="0" fontId="0" fillId="0" borderId="0" xfId="0" applyAlignment="1" applyProtection="1">
      <alignment horizontal="center"/>
      <protection locked="0" hidden="1"/>
    </xf>
    <xf numFmtId="0" fontId="0" fillId="0" borderId="0" xfId="0" applyFont="1" applyProtection="1">
      <protection hidden="1"/>
    </xf>
    <xf numFmtId="169" fontId="0" fillId="0" borderId="0" xfId="0" applyNumberFormat="1" applyAlignment="1" applyProtection="1">
      <alignment horizontal="center"/>
      <protection locked="0" hidden="1"/>
    </xf>
    <xf numFmtId="0" fontId="3" fillId="0" borderId="0" xfId="4" applyProtection="1">
      <protection locked="0" hidden="1"/>
    </xf>
    <xf numFmtId="0" fontId="3" fillId="0" borderId="0" xfId="4" applyAlignment="1" applyProtection="1">
      <alignment horizontal="center"/>
      <protection locked="0" hidden="1"/>
    </xf>
    <xf numFmtId="0" fontId="3" fillId="0" borderId="0" xfId="4" applyFont="1" applyProtection="1">
      <protection locked="0" hidden="1"/>
    </xf>
    <xf numFmtId="165" fontId="3" fillId="0" borderId="0" xfId="4" applyNumberFormat="1" applyAlignment="1" applyProtection="1">
      <alignment horizontal="center"/>
      <protection locked="0" hidden="1"/>
    </xf>
    <xf numFmtId="171" fontId="3" fillId="0" borderId="0" xfId="4" applyNumberFormat="1" applyAlignment="1" applyProtection="1">
      <alignment horizontal="center"/>
      <protection locked="0" hidden="1"/>
    </xf>
    <xf numFmtId="0" fontId="3" fillId="0" borderId="0" xfId="4" applyFont="1" applyAlignment="1" applyProtection="1">
      <alignment horizontal="center"/>
      <protection locked="0" hidden="1"/>
    </xf>
    <xf numFmtId="0" fontId="3" fillId="0" borderId="0" xfId="4" applyFont="1" applyFill="1" applyProtection="1">
      <protection locked="0" hidden="1"/>
    </xf>
    <xf numFmtId="0" fontId="3" fillId="0" borderId="0" xfId="4" applyFill="1" applyProtection="1">
      <protection locked="0" hidden="1"/>
    </xf>
    <xf numFmtId="0" fontId="3" fillId="0" borderId="0" xfId="4" applyFill="1" applyAlignment="1" applyProtection="1">
      <alignment horizontal="center"/>
      <protection locked="0" hidden="1"/>
    </xf>
    <xf numFmtId="0" fontId="3" fillId="0" borderId="0" xfId="4" applyAlignment="1" applyProtection="1">
      <alignment horizontal="right"/>
      <protection locked="0" hidden="1"/>
    </xf>
    <xf numFmtId="169" fontId="3" fillId="0" borderId="0" xfId="4" applyNumberFormat="1" applyAlignment="1" applyProtection="1">
      <alignment horizontal="center"/>
      <protection locked="0" hidden="1"/>
    </xf>
    <xf numFmtId="0" fontId="33" fillId="8" borderId="0" xfId="0" applyFont="1" applyFill="1" applyAlignment="1" applyProtection="1">
      <alignment horizontal="center"/>
    </xf>
    <xf numFmtId="164" fontId="11" fillId="0" borderId="0" xfId="3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17" fillId="2" borderId="1" xfId="1" applyFont="1" applyFill="1" applyBorder="1" applyAlignment="1" applyProtection="1">
      <alignment horizontal="left"/>
      <protection locked="0"/>
    </xf>
    <xf numFmtId="0" fontId="17" fillId="2" borderId="2" xfId="1" applyFont="1" applyFill="1" applyBorder="1" applyAlignment="1" applyProtection="1">
      <alignment horizontal="left"/>
      <protection locked="0"/>
    </xf>
    <xf numFmtId="14" fontId="17" fillId="2" borderId="2" xfId="1" applyNumberFormat="1" applyFont="1" applyFill="1" applyBorder="1" applyAlignment="1" applyProtection="1">
      <alignment horizontal="left"/>
      <protection locked="0"/>
    </xf>
    <xf numFmtId="0" fontId="11" fillId="0" borderId="0" xfId="0" applyFont="1" applyAlignment="1">
      <alignment horizontal="center"/>
    </xf>
    <xf numFmtId="164" fontId="11" fillId="0" borderId="3" xfId="3" applyFont="1" applyBorder="1" applyAlignment="1">
      <alignment horizontal="center"/>
    </xf>
    <xf numFmtId="0" fontId="11" fillId="0" borderId="3" xfId="0" applyFont="1" applyBorder="1" applyAlignment="1" applyProtection="1">
      <alignment horizontal="center" wrapText="1"/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164" fontId="11" fillId="0" borderId="3" xfId="3" applyFont="1" applyBorder="1" applyAlignment="1" applyProtection="1">
      <alignment horizontal="center"/>
      <protection hidden="1"/>
    </xf>
    <xf numFmtId="0" fontId="11" fillId="0" borderId="3" xfId="0" applyFont="1" applyBorder="1" applyAlignment="1" applyProtection="1">
      <alignment horizontal="center"/>
      <protection hidden="1"/>
    </xf>
    <xf numFmtId="164" fontId="11" fillId="0" borderId="0" xfId="3" applyFont="1" applyBorder="1" applyAlignment="1" applyProtection="1">
      <alignment horizontal="center"/>
      <protection hidden="1"/>
    </xf>
  </cellXfs>
  <cellStyles count="5">
    <cellStyle name="Currency" xfId="3" builtinId="4"/>
    <cellStyle name="Normal" xfId="0" builtinId="0"/>
    <cellStyle name="Normal_Drive" xfId="1"/>
    <cellStyle name="Normal_M55_100" xfId="4"/>
    <cellStyle name="Percent" xfId="2" builtinId="5"/>
  </cellStyles>
  <dxfs count="31">
    <dxf>
      <fill>
        <patternFill>
          <bgColor rgb="FFFF3300"/>
        </patternFill>
      </fill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b/>
        <i val="0"/>
        <color rgb="FFFF0000"/>
      </font>
      <fill>
        <patternFill>
          <bgColor rgb="FF99FFCC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0070C0"/>
      </font>
      <fill>
        <patternFill>
          <bgColor rgb="FFFFFF99"/>
        </patternFill>
      </fill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rgb="FFFF3300"/>
        </patternFill>
      </fill>
    </dxf>
    <dxf>
      <font>
        <b/>
        <i val="0"/>
        <color rgb="FFFF0000"/>
      </font>
      <fill>
        <patternFill>
          <bgColor rgb="FF99FFCC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0070C0"/>
      </font>
      <fill>
        <patternFill>
          <bgColor rgb="FFFFFF99"/>
        </patternFill>
      </fill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lor rgb="FFFF0000"/>
      </font>
      <fill>
        <patternFill>
          <bgColor rgb="FF99FFCC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0070C0"/>
      </font>
      <fill>
        <patternFill>
          <bgColor rgb="FFFFFF99"/>
        </patternFill>
      </fill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FF3300"/>
      <color rgb="FFCCFFFF"/>
      <color rgb="FF99FF66"/>
      <color rgb="FFCCFFCC"/>
      <color rgb="FFFF66FF"/>
      <color rgb="FFFFFF99"/>
      <color rgb="FF99FFCC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SE"/>
              <a:t>Move profile</a:t>
            </a:r>
          </a:p>
        </c:rich>
      </c:tx>
      <c:layout>
        <c:manualLayout>
          <c:xMode val="edge"/>
          <c:yMode val="edge"/>
          <c:x val="0.4202338715442670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491219042484"/>
          <c:y val="0.1388893028153623"/>
          <c:w val="0.82490350736364926"/>
          <c:h val="0.71528020317994245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Blad2!$K$29:$N$29</c:f>
              <c:numCache>
                <c:formatCode>0.000</c:formatCode>
                <c:ptCount val="4"/>
                <c:pt idx="0" formatCode="General">
                  <c:v>0</c:v>
                </c:pt>
                <c:pt idx="1">
                  <c:v>562.5</c:v>
                </c:pt>
                <c:pt idx="2">
                  <c:v>1237.5</c:v>
                </c:pt>
                <c:pt idx="3" formatCode="General">
                  <c:v>1800</c:v>
                </c:pt>
              </c:numCache>
            </c:numRef>
          </c:xVal>
          <c:yVal>
            <c:numRef>
              <c:f>Blad2!$K$30:$N$30</c:f>
              <c:numCache>
                <c:formatCode>General</c:formatCode>
                <c:ptCount val="4"/>
                <c:pt idx="0">
                  <c:v>0</c:v>
                </c:pt>
                <c:pt idx="1">
                  <c:v>1.5</c:v>
                </c:pt>
                <c:pt idx="2">
                  <c:v>1.5</c:v>
                </c:pt>
                <c:pt idx="3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009872"/>
        <c:axId val="427598752"/>
      </c:scatterChart>
      <c:valAx>
        <c:axId val="203009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Distance mm</a:t>
                </a:r>
              </a:p>
            </c:rich>
          </c:tx>
          <c:layout>
            <c:manualLayout>
              <c:xMode val="edge"/>
              <c:yMode val="edge"/>
              <c:x val="0.45136227621352776"/>
              <c:y val="0.913197360746573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7598752"/>
        <c:crosses val="autoZero"/>
        <c:crossBetween val="midCat"/>
      </c:valAx>
      <c:valAx>
        <c:axId val="427598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Speed m/s</a:t>
                </a:r>
              </a:p>
            </c:rich>
          </c:tx>
          <c:layout>
            <c:manualLayout>
              <c:xMode val="edge"/>
              <c:yMode val="edge"/>
              <c:x val="2.5291828793774319E-2"/>
              <c:y val="0.406251458151064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009872"/>
        <c:crosses val="autoZero"/>
        <c:crossBetween val="midCat"/>
      </c:valAx>
      <c:spPr>
        <a:gradFill rotWithShape="0">
          <a:gsLst>
            <a:gs pos="0">
              <a:srgbClr val="FFFF99"/>
            </a:gs>
            <a:gs pos="100000">
              <a:srgbClr val="CC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'Calculation BELT'!$N$139:$P$139</c:f>
            </c:numRef>
          </c:xVal>
          <c:yVal>
            <c:numRef>
              <c:f>'Calculation BELT'!$N$140:$P$140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599536"/>
        <c:axId val="427599928"/>
      </c:scatterChart>
      <c:valAx>
        <c:axId val="42759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7599928"/>
        <c:crosses val="autoZero"/>
        <c:crossBetween val="midCat"/>
      </c:valAx>
      <c:valAx>
        <c:axId val="427599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75995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SE"/>
              <a:t>Move profile</a:t>
            </a:r>
          </a:p>
        </c:rich>
      </c:tx>
      <c:layout>
        <c:manualLayout>
          <c:xMode val="edge"/>
          <c:yMode val="edge"/>
          <c:x val="0.4202338715442670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491219042484"/>
          <c:y val="0.1388893028153623"/>
          <c:w val="0.82490350736364926"/>
          <c:h val="0.71528020317994245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Blad2!$K$11:$N$11</c:f>
              <c:numCache>
                <c:formatCode>0.000</c:formatCode>
                <c:ptCount val="4"/>
                <c:pt idx="0" formatCode="General">
                  <c:v>0</c:v>
                </c:pt>
                <c:pt idx="1">
                  <c:v>200</c:v>
                </c:pt>
                <c:pt idx="2">
                  <c:v>1800</c:v>
                </c:pt>
                <c:pt idx="3" formatCode="General">
                  <c:v>2000</c:v>
                </c:pt>
              </c:numCache>
            </c:numRef>
          </c:xVal>
          <c:yVal>
            <c:numRef>
              <c:f>Blad2!$K$12:$N$12</c:f>
              <c:numCache>
                <c:formatCode>General</c:formatCode>
                <c:ptCount val="4"/>
                <c:pt idx="0">
                  <c:v>0</c:v>
                </c:pt>
                <c:pt idx="1">
                  <c:v>0.2</c:v>
                </c:pt>
                <c:pt idx="2">
                  <c:v>0.2</c:v>
                </c:pt>
                <c:pt idx="3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683192"/>
        <c:axId val="72683584"/>
      </c:scatterChart>
      <c:valAx>
        <c:axId val="72683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Distance mm</a:t>
                </a:r>
              </a:p>
            </c:rich>
          </c:tx>
          <c:layout>
            <c:manualLayout>
              <c:xMode val="edge"/>
              <c:yMode val="edge"/>
              <c:x val="0.45136227621352776"/>
              <c:y val="0.913197360746573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683584"/>
        <c:crosses val="autoZero"/>
        <c:crossBetween val="midCat"/>
      </c:valAx>
      <c:valAx>
        <c:axId val="72683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Speed m/s</a:t>
                </a:r>
              </a:p>
            </c:rich>
          </c:tx>
          <c:layout>
            <c:manualLayout>
              <c:xMode val="edge"/>
              <c:yMode val="edge"/>
              <c:x val="2.5291828793774319E-2"/>
              <c:y val="0.406251458151064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683192"/>
        <c:crosses val="autoZero"/>
        <c:crossBetween val="midCat"/>
      </c:valAx>
      <c:spPr>
        <a:gradFill rotWithShape="0">
          <a:gsLst>
            <a:gs pos="0">
              <a:srgbClr val="FFFF99"/>
            </a:gs>
            <a:gs pos="100000">
              <a:srgbClr val="CC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'Calculation SCREW'!$BJ$29:$BL$29</c:f>
            </c:numRef>
          </c:xVal>
          <c:yVal>
            <c:numRef>
              <c:f>'Calculation SCREW'!$BJ$30:$BL$30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684368"/>
        <c:axId val="72684760"/>
      </c:scatterChart>
      <c:valAx>
        <c:axId val="7268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2684760"/>
        <c:crosses val="autoZero"/>
        <c:crossBetween val="midCat"/>
      </c:valAx>
      <c:valAx>
        <c:axId val="72684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26843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SE"/>
              <a:t>Move profile</a:t>
            </a:r>
          </a:p>
        </c:rich>
      </c:tx>
      <c:layout>
        <c:manualLayout>
          <c:xMode val="edge"/>
          <c:yMode val="edge"/>
          <c:x val="0.4202338715442670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491219042484"/>
          <c:y val="0.1388893028153623"/>
          <c:w val="0.82490350736364926"/>
          <c:h val="0.71528020317994245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Blad2!$K$46:$N$46</c:f>
              <c:numCache>
                <c:formatCode>0.000</c:formatCode>
                <c:ptCount val="4"/>
                <c:pt idx="0" formatCode="General">
                  <c:v>0</c:v>
                </c:pt>
                <c:pt idx="1">
                  <c:v>150</c:v>
                </c:pt>
                <c:pt idx="2">
                  <c:v>2050.0000000000005</c:v>
                </c:pt>
                <c:pt idx="3" formatCode="General">
                  <c:v>2200</c:v>
                </c:pt>
              </c:numCache>
            </c:numRef>
          </c:xVal>
          <c:yVal>
            <c:numRef>
              <c:f>Blad2!$K$47:$N$47</c:f>
              <c:numCache>
                <c:formatCode>General</c:formatCode>
                <c:ptCount val="4"/>
                <c:pt idx="0">
                  <c:v>0</c:v>
                </c:pt>
                <c:pt idx="1">
                  <c:v>0.6</c:v>
                </c:pt>
                <c:pt idx="2">
                  <c:v>0.6</c:v>
                </c:pt>
                <c:pt idx="3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685936"/>
        <c:axId val="72686328"/>
      </c:scatterChart>
      <c:valAx>
        <c:axId val="72685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Distance mm</a:t>
                </a:r>
              </a:p>
            </c:rich>
          </c:tx>
          <c:layout>
            <c:manualLayout>
              <c:xMode val="edge"/>
              <c:yMode val="edge"/>
              <c:x val="0.45136227621352776"/>
              <c:y val="0.913197360746573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686328"/>
        <c:crosses val="autoZero"/>
        <c:crossBetween val="midCat"/>
      </c:valAx>
      <c:valAx>
        <c:axId val="72686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Speed m/s</a:t>
                </a:r>
              </a:p>
            </c:rich>
          </c:tx>
          <c:layout>
            <c:manualLayout>
              <c:xMode val="edge"/>
              <c:yMode val="edge"/>
              <c:x val="2.5291828793774319E-2"/>
              <c:y val="0.406251458151064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685936"/>
        <c:crosses val="autoZero"/>
        <c:crossBetween val="midCat"/>
      </c:valAx>
      <c:spPr>
        <a:gradFill rotWithShape="0">
          <a:gsLst>
            <a:gs pos="0">
              <a:srgbClr val="FFFF99"/>
            </a:gs>
            <a:gs pos="100000">
              <a:srgbClr val="CC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03542574623964"/>
          <c:y val="0.12772865078641354"/>
          <c:w val="0.7952829215814422"/>
          <c:h val="0.71321731896124207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'Calculation SCREW'!$BJ$29:$BL$29</c:f>
            </c:numRef>
          </c:xVal>
          <c:yVal>
            <c:numRef>
              <c:f>'Calculation SCREW'!$BJ$30:$BL$30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691432"/>
        <c:axId val="423691824"/>
      </c:scatterChart>
      <c:valAx>
        <c:axId val="423691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3691824"/>
        <c:crosses val="autoZero"/>
        <c:crossBetween val="midCat"/>
      </c:valAx>
      <c:valAx>
        <c:axId val="423691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36914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Style="combo" dx="16" fmlaLink="$M$4" fmlaRange="$N$5:$N$6" noThreeD="1" sel="2" val="0"/>
</file>

<file path=xl/ctrlProps/ctrlProp10.xml><?xml version="1.0" encoding="utf-8"?>
<formControlPr xmlns="http://schemas.microsoft.com/office/spreadsheetml/2009/9/main" objectType="Drop" dropStyle="combo" dx="16" fmlaLink="$L$274" fmlaRange="$M$275:$M$298" noThreeD="1" sel="15" val="13"/>
</file>

<file path=xl/ctrlProps/ctrlProp11.xml><?xml version="1.0" encoding="utf-8"?>
<formControlPr xmlns="http://schemas.microsoft.com/office/spreadsheetml/2009/9/main" objectType="Drop" dropStyle="combo" dx="16" fmlaLink="AF158" fmlaRange="$AF$159:$AF$164" noThreeD="1" sel="1" val="0"/>
</file>

<file path=xl/ctrlProps/ctrlProp12.xml><?xml version="1.0" encoding="utf-8"?>
<formControlPr xmlns="http://schemas.microsoft.com/office/spreadsheetml/2009/9/main" objectType="Drop" dropStyle="combo" dx="16" fmlaLink="$Q$4" fmlaRange="$R$5:$R$9" noThreeD="1" sel="2" val="0"/>
</file>

<file path=xl/ctrlProps/ctrlProp13.xml><?xml version="1.0" encoding="utf-8"?>
<formControlPr xmlns="http://schemas.microsoft.com/office/spreadsheetml/2009/9/main" objectType="Drop" dropStyle="combo" dx="16" fmlaLink="$Q$13" fmlaRange="$R$14:$R$16" noThreeD="1" sel="1" val="0"/>
</file>

<file path=xl/ctrlProps/ctrlProp14.xml><?xml version="1.0" encoding="utf-8"?>
<formControlPr xmlns="http://schemas.microsoft.com/office/spreadsheetml/2009/9/main" objectType="Drop" dropStyle="combo" dx="16" fmlaLink="$Q$18" fmlaRange="$Q$19:$Q$20" noThreeD="1" sel="1" val="0"/>
</file>

<file path=xl/ctrlProps/ctrlProp15.xml><?xml version="1.0" encoding="utf-8"?>
<formControlPr xmlns="http://schemas.microsoft.com/office/spreadsheetml/2009/9/main" objectType="Drop" dropStyle="combo" dx="16" fmlaLink="$T$18" fmlaRange="$U$19:$U$20" noThreeD="1" sel="1" val="0"/>
</file>

<file path=xl/ctrlProps/ctrlProp16.xml><?xml version="1.0" encoding="utf-8"?>
<formControlPr xmlns="http://schemas.microsoft.com/office/spreadsheetml/2009/9/main" objectType="Drop" dropStyle="combo" dx="16" fmlaLink="$X$13" fmlaRange="$Y$14:$Y$15" noThreeD="1" sel="1" val="0"/>
</file>

<file path=xl/ctrlProps/ctrlProp17.xml><?xml version="1.0" encoding="utf-8"?>
<formControlPr xmlns="http://schemas.microsoft.com/office/spreadsheetml/2009/9/main" objectType="Drop" dropStyle="combo" dx="16" fmlaLink="$W$18" fmlaRange="$X$19:$X$20" noThreeD="1" sel="1" val="0"/>
</file>

<file path=xl/ctrlProps/ctrlProp18.xml><?xml version="1.0" encoding="utf-8"?>
<formControlPr xmlns="http://schemas.microsoft.com/office/spreadsheetml/2009/9/main" objectType="Drop" dropStyle="combo" dx="16" fmlaLink="$L$253" fmlaRange="$M$254:$M$255" noThreeD="1" sel="1" val="0"/>
</file>

<file path=xl/ctrlProps/ctrlProp19.xml><?xml version="1.0" encoding="utf-8"?>
<formControlPr xmlns="http://schemas.microsoft.com/office/spreadsheetml/2009/9/main" objectType="Drop" dropStyle="combo" dx="16" fmlaLink="$L$257" fmlaRange="$M$258:$M$262" noThreeD="1" sel="2" val="0"/>
</file>

<file path=xl/ctrlProps/ctrlProp2.xml><?xml version="1.0" encoding="utf-8"?>
<formControlPr xmlns="http://schemas.microsoft.com/office/spreadsheetml/2009/9/main" objectType="Drop" dropStyle="combo" dx="16" fmlaLink="$Q$16" fmlaRange="$R$17:$R$21" noThreeD="1" sel="2" val="0"/>
</file>

<file path=xl/ctrlProps/ctrlProp20.xml><?xml version="1.0" encoding="utf-8"?>
<formControlPr xmlns="http://schemas.microsoft.com/office/spreadsheetml/2009/9/main" objectType="Drop" dropStyle="combo" dx="16" fmlaLink="$O$257" fmlaRange="$P$258:$P$259" noThreeD="1" sel="2" val="0"/>
</file>

<file path=xl/ctrlProps/ctrlProp21.xml><?xml version="1.0" encoding="utf-8"?>
<formControlPr xmlns="http://schemas.microsoft.com/office/spreadsheetml/2009/9/main" objectType="Drop" dropStyle="combo" dx="16" fmlaLink="$L$265" fmlaRange="$M$266:$M$289" noThreeD="1" sel="7" val="5"/>
</file>

<file path=xl/ctrlProps/ctrlProp22.xml><?xml version="1.0" encoding="utf-8"?>
<formControlPr xmlns="http://schemas.microsoft.com/office/spreadsheetml/2009/9/main" objectType="Drop" dropStyle="combo" dx="16" fmlaLink="$AF$149" fmlaRange="$AF$150:$AF$155" noThreeD="1" sel="1" val="0"/>
</file>

<file path=xl/ctrlProps/ctrlProp23.xml><?xml version="1.0" encoding="utf-8"?>
<formControlPr xmlns="http://schemas.microsoft.com/office/spreadsheetml/2009/9/main" objectType="Drop" dropStyle="combo" dx="16" fmlaLink="$BN$16" fmlaRange="$BO$17:$BO$20" noThreeD="1" sel="1" val="0"/>
</file>

<file path=xl/ctrlProps/ctrlProp24.xml><?xml version="1.0" encoding="utf-8"?>
<formControlPr xmlns="http://schemas.microsoft.com/office/spreadsheetml/2009/9/main" objectType="Drop" dropStyle="combo" dx="16" fmlaLink="$Q$4" fmlaRange="$R$5:$R$7" noThreeD="1" sel="1" val="0"/>
</file>

<file path=xl/ctrlProps/ctrlProp25.xml><?xml version="1.0" encoding="utf-8"?>
<formControlPr xmlns="http://schemas.microsoft.com/office/spreadsheetml/2009/9/main" objectType="Drop" dropStyle="combo" dx="16" fmlaLink="$Q$18" fmlaRange="$Q$19:$Q$20" noThreeD="1" sel="1" val="0"/>
</file>

<file path=xl/ctrlProps/ctrlProp26.xml><?xml version="1.0" encoding="utf-8"?>
<formControlPr xmlns="http://schemas.microsoft.com/office/spreadsheetml/2009/9/main" objectType="Drop" dropStyle="combo" dx="16" fmlaLink="$T$18" fmlaRange="$U$19:$U$20" noThreeD="1" sel="1" val="0"/>
</file>

<file path=xl/ctrlProps/ctrlProp27.xml><?xml version="1.0" encoding="utf-8"?>
<formControlPr xmlns="http://schemas.microsoft.com/office/spreadsheetml/2009/9/main" objectType="Drop" dropStyle="combo" dx="16" fmlaLink="$L$253" fmlaRange="$M$254:$M$255" noThreeD="1" sel="1" val="0"/>
</file>

<file path=xl/ctrlProps/ctrlProp28.xml><?xml version="1.0" encoding="utf-8"?>
<formControlPr xmlns="http://schemas.microsoft.com/office/spreadsheetml/2009/9/main" objectType="Drop" dropStyle="combo" dx="16" fmlaLink="$L$257" fmlaRange="$M$258:$M$262" noThreeD="1" sel="2" val="0"/>
</file>

<file path=xl/ctrlProps/ctrlProp29.xml><?xml version="1.0" encoding="utf-8"?>
<formControlPr xmlns="http://schemas.microsoft.com/office/spreadsheetml/2009/9/main" objectType="Drop" dropStyle="combo" dx="16" fmlaLink="$O$257" fmlaRange="$P$258:$P$259" noThreeD="1" sel="2" val="0"/>
</file>

<file path=xl/ctrlProps/ctrlProp3.xml><?xml version="1.0" encoding="utf-8"?>
<formControlPr xmlns="http://schemas.microsoft.com/office/spreadsheetml/2009/9/main" objectType="Drop" dropStyle="combo" dx="16" fmlaLink="$Q$23" fmlaRange="$Q$24:$Q$25" noThreeD="1" sel="1" val="0"/>
</file>

<file path=xl/ctrlProps/ctrlProp30.xml><?xml version="1.0" encoding="utf-8"?>
<formControlPr xmlns="http://schemas.microsoft.com/office/spreadsheetml/2009/9/main" objectType="Drop" dropStyle="combo" dx="16" fmlaLink="$L$265" fmlaRange="$M$266:$M$289" noThreeD="1" sel="9" val="6"/>
</file>

<file path=xl/ctrlProps/ctrlProp31.xml><?xml version="1.0" encoding="utf-8"?>
<formControlPr xmlns="http://schemas.microsoft.com/office/spreadsheetml/2009/9/main" objectType="Drop" dropStyle="combo" dx="16" fmlaLink="$AF$124" fmlaRange="$AF$125:$AF$130" noThreeD="1" sel="1" val="0"/>
</file>

<file path=xl/ctrlProps/ctrlProp32.xml><?xml version="1.0" encoding="utf-8"?>
<formControlPr xmlns="http://schemas.microsoft.com/office/spreadsheetml/2009/9/main" objectType="Drop" dropStyle="combo" dx="16" fmlaLink="$BN$16" fmlaRange="$BO$17:$BO$20" noThreeD="1" sel="2" val="0"/>
</file>

<file path=xl/ctrlProps/ctrlProp33.xml><?xml version="1.0" encoding="utf-8"?>
<formControlPr xmlns="http://schemas.microsoft.com/office/spreadsheetml/2009/9/main" objectType="Drop" dropStyle="combo" dx="16" fmlaLink="$AD$12" fmlaRange="$AD$13:$AD$17" noThreeD="1" sel="1" val="0"/>
</file>

<file path=xl/ctrlProps/ctrlProp4.xml><?xml version="1.0" encoding="utf-8"?>
<formControlPr xmlns="http://schemas.microsoft.com/office/spreadsheetml/2009/9/main" objectType="Drop" dropStyle="combo" dx="16" fmlaLink="$T$23" fmlaRange="$U$24:$U$25" noThreeD="1" sel="1" val="0"/>
</file>

<file path=xl/ctrlProps/ctrlProp5.xml><?xml version="1.0" encoding="utf-8"?>
<formControlPr xmlns="http://schemas.microsoft.com/office/spreadsheetml/2009/9/main" objectType="Drop" dropStyle="combo" dx="16" fmlaLink="$X$16" fmlaRange="$Y$17:$Y$18" noThreeD="1" sel="1" val="0"/>
</file>

<file path=xl/ctrlProps/ctrlProp6.xml><?xml version="1.0" encoding="utf-8"?>
<formControlPr xmlns="http://schemas.microsoft.com/office/spreadsheetml/2009/9/main" objectType="Drop" dropStyle="combo" dx="16" fmlaLink="$W$23" fmlaRange="$X$24:$X$25" noThreeD="1" sel="1" val="0"/>
</file>

<file path=xl/ctrlProps/ctrlProp7.xml><?xml version="1.0" encoding="utf-8"?>
<formControlPr xmlns="http://schemas.microsoft.com/office/spreadsheetml/2009/9/main" objectType="Drop" dropStyle="combo" dx="16" fmlaLink="$L$262" fmlaRange="$M$263:$M$264" noThreeD="1" sel="2" val="0"/>
</file>

<file path=xl/ctrlProps/ctrlProp8.xml><?xml version="1.0" encoding="utf-8"?>
<formControlPr xmlns="http://schemas.microsoft.com/office/spreadsheetml/2009/9/main" objectType="Drop" dropStyle="combo" dx="16" fmlaLink="$L$266" fmlaRange="$M$267:$M$271" noThreeD="1" sel="5" val="0"/>
</file>

<file path=xl/ctrlProps/ctrlProp9.xml><?xml version="1.0" encoding="utf-8"?>
<formControlPr xmlns="http://schemas.microsoft.com/office/spreadsheetml/2009/9/main" objectType="Drop" dropStyle="combo" dx="16" fmlaLink="$O$266" fmlaRange="$P$267:$P$268" noThreeD="1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3.png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3.png"/><Relationship Id="rId5" Type="http://schemas.openxmlformats.org/officeDocument/2006/relationships/image" Target="../media/image4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jpeg"/><Relationship Id="rId5" Type="http://schemas.openxmlformats.org/officeDocument/2006/relationships/image" Target="../media/image3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http://www.germes-online.com/direct/dbimage/50224258/Commercial_Vehicle_Braking_Spring.jpg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http://www.germes-online.com/direct/dbimage/50224258/Commercial_Vehicle_Braking_Spring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</xdr:row>
          <xdr:rowOff>0</xdr:rowOff>
        </xdr:from>
        <xdr:to>
          <xdr:col>3</xdr:col>
          <xdr:colOff>161925</xdr:colOff>
          <xdr:row>8</xdr:row>
          <xdr:rowOff>19050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600075</xdr:colOff>
          <xdr:row>16</xdr:row>
          <xdr:rowOff>171450</xdr:rowOff>
        </xdr:from>
        <xdr:to>
          <xdr:col>4</xdr:col>
          <xdr:colOff>304800</xdr:colOff>
          <xdr:row>17</xdr:row>
          <xdr:rowOff>180975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20</xdr:row>
          <xdr:rowOff>0</xdr:rowOff>
        </xdr:from>
        <xdr:to>
          <xdr:col>4</xdr:col>
          <xdr:colOff>542925</xdr:colOff>
          <xdr:row>21</xdr:row>
          <xdr:rowOff>9525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0</xdr:rowOff>
        </xdr:from>
        <xdr:to>
          <xdr:col>3</xdr:col>
          <xdr:colOff>66675</xdr:colOff>
          <xdr:row>26</xdr:row>
          <xdr:rowOff>9525</xdr:rowOff>
        </xdr:to>
        <xdr:sp macro="" textlink="">
          <xdr:nvSpPr>
            <xdr:cNvPr id="5124" name="Drop Down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555914</xdr:colOff>
      <xdr:row>1</xdr:row>
      <xdr:rowOff>38101</xdr:rowOff>
    </xdr:from>
    <xdr:to>
      <xdr:col>9</xdr:col>
      <xdr:colOff>574964</xdr:colOff>
      <xdr:row>3</xdr:row>
      <xdr:rowOff>0</xdr:rowOff>
    </xdr:to>
    <xdr:pic>
      <xdr:nvPicPr>
        <xdr:cNvPr id="6" name="Picture 2" descr="Macintosh HD:Users:markmasseur:Documents:Clients:Danaher:Thomson Collateral:Thomson_Letterhead :Thomson_Letterhead_head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420" t="34583" r="7782" b="26601"/>
        <a:stretch>
          <a:fillRect/>
        </a:stretch>
      </xdr:blipFill>
      <xdr:spPr bwMode="auto">
        <a:xfrm>
          <a:off x="3775364" y="542926"/>
          <a:ext cx="2457450" cy="66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173184</xdr:colOff>
      <xdr:row>20</xdr:row>
      <xdr:rowOff>17319</xdr:rowOff>
    </xdr:from>
    <xdr:to>
      <xdr:col>9</xdr:col>
      <xdr:colOff>562843</xdr:colOff>
      <xdr:row>26</xdr:row>
      <xdr:rowOff>24823</xdr:rowOff>
    </xdr:to>
    <xdr:pic>
      <xdr:nvPicPr>
        <xdr:cNvPr id="7" name="Bildobjekt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92634" y="4465494"/>
          <a:ext cx="2828059" cy="1133186"/>
        </a:xfrm>
        <a:prstGeom prst="rect">
          <a:avLst/>
        </a:prstGeom>
      </xdr:spPr>
    </xdr:pic>
    <xdr:clientData/>
  </xdr:twoCellAnchor>
  <xdr:twoCellAnchor>
    <xdr:from>
      <xdr:col>3</xdr:col>
      <xdr:colOff>389657</xdr:colOff>
      <xdr:row>55</xdr:row>
      <xdr:rowOff>103909</xdr:rowOff>
    </xdr:from>
    <xdr:to>
      <xdr:col>9</xdr:col>
      <xdr:colOff>571499</xdr:colOff>
      <xdr:row>68</xdr:row>
      <xdr:rowOff>121229</xdr:rowOff>
    </xdr:to>
    <xdr:graphicFrame macro="">
      <xdr:nvGraphicFramePr>
        <xdr:cNvPr id="8" name="Diagram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49</xdr:row>
          <xdr:rowOff>19050</xdr:rowOff>
        </xdr:from>
        <xdr:to>
          <xdr:col>6</xdr:col>
          <xdr:colOff>38100</xdr:colOff>
          <xdr:row>50</xdr:row>
          <xdr:rowOff>28575</xdr:rowOff>
        </xdr:to>
        <xdr:sp macro="" textlink="">
          <xdr:nvSpPr>
            <xdr:cNvPr id="5125" name="Drop Down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43</xdr:row>
          <xdr:rowOff>19050</xdr:rowOff>
        </xdr:from>
        <xdr:to>
          <xdr:col>9</xdr:col>
          <xdr:colOff>104775</xdr:colOff>
          <xdr:row>44</xdr:row>
          <xdr:rowOff>19050</xdr:rowOff>
        </xdr:to>
        <xdr:sp macro="" textlink="">
          <xdr:nvSpPr>
            <xdr:cNvPr id="5126" name="Drop Down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225137</xdr:colOff>
      <xdr:row>134</xdr:row>
      <xdr:rowOff>26842</xdr:rowOff>
    </xdr:from>
    <xdr:to>
      <xdr:col>22</xdr:col>
      <xdr:colOff>25979</xdr:colOff>
      <xdr:row>142</xdr:row>
      <xdr:rowOff>17316</xdr:rowOff>
    </xdr:to>
    <xdr:graphicFrame macro="">
      <xdr:nvGraphicFramePr>
        <xdr:cNvPr id="11" name="Diagram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619125</xdr:colOff>
          <xdr:row>109</xdr:row>
          <xdr:rowOff>9525</xdr:rowOff>
        </xdr:from>
        <xdr:to>
          <xdr:col>2</xdr:col>
          <xdr:colOff>581025</xdr:colOff>
          <xdr:row>110</xdr:row>
          <xdr:rowOff>28575</xdr:rowOff>
        </xdr:to>
        <xdr:sp macro="" textlink="">
          <xdr:nvSpPr>
            <xdr:cNvPr id="5127" name="Drop Down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116</xdr:row>
          <xdr:rowOff>19050</xdr:rowOff>
        </xdr:from>
        <xdr:to>
          <xdr:col>2</xdr:col>
          <xdr:colOff>571500</xdr:colOff>
          <xdr:row>117</xdr:row>
          <xdr:rowOff>19050</xdr:rowOff>
        </xdr:to>
        <xdr:sp macro="" textlink="">
          <xdr:nvSpPr>
            <xdr:cNvPr id="5128" name="Drop Down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116</xdr:row>
          <xdr:rowOff>9525</xdr:rowOff>
        </xdr:from>
        <xdr:to>
          <xdr:col>8</xdr:col>
          <xdr:colOff>285750</xdr:colOff>
          <xdr:row>117</xdr:row>
          <xdr:rowOff>38100</xdr:rowOff>
        </xdr:to>
        <xdr:sp macro="" textlink="">
          <xdr:nvSpPr>
            <xdr:cNvPr id="5129" name="Drop Down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116</xdr:row>
          <xdr:rowOff>28575</xdr:rowOff>
        </xdr:from>
        <xdr:to>
          <xdr:col>6</xdr:col>
          <xdr:colOff>419100</xdr:colOff>
          <xdr:row>117</xdr:row>
          <xdr:rowOff>28575</xdr:rowOff>
        </xdr:to>
        <xdr:sp macro="" textlink="">
          <xdr:nvSpPr>
            <xdr:cNvPr id="5130" name="Drop Down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84</xdr:row>
          <xdr:rowOff>0</xdr:rowOff>
        </xdr:from>
        <xdr:to>
          <xdr:col>9</xdr:col>
          <xdr:colOff>485775</xdr:colOff>
          <xdr:row>85</xdr:row>
          <xdr:rowOff>38100</xdr:rowOff>
        </xdr:to>
        <xdr:sp macro="" textlink="">
          <xdr:nvSpPr>
            <xdr:cNvPr id="5131" name="Drop Down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28</xdr:row>
      <xdr:rowOff>0</xdr:rowOff>
    </xdr:from>
    <xdr:to>
      <xdr:col>5</xdr:col>
      <xdr:colOff>277091</xdr:colOff>
      <xdr:row>40</xdr:row>
      <xdr:rowOff>127351</xdr:rowOff>
    </xdr:to>
    <xdr:pic>
      <xdr:nvPicPr>
        <xdr:cNvPr id="23" name="Bildobjekt 2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922818"/>
          <a:ext cx="3489614" cy="2318101"/>
        </a:xfrm>
        <a:prstGeom prst="rect">
          <a:avLst/>
        </a:prstGeom>
      </xdr:spPr>
    </xdr:pic>
    <xdr:clientData/>
  </xdr:twoCellAnchor>
  <xdr:twoCellAnchor>
    <xdr:from>
      <xdr:col>21</xdr:col>
      <xdr:colOff>329046</xdr:colOff>
      <xdr:row>122</xdr:row>
      <xdr:rowOff>69271</xdr:rowOff>
    </xdr:from>
    <xdr:to>
      <xdr:col>21</xdr:col>
      <xdr:colOff>493569</xdr:colOff>
      <xdr:row>125</xdr:row>
      <xdr:rowOff>129886</xdr:rowOff>
    </xdr:to>
    <xdr:sp macro="" textlink="">
      <xdr:nvSpPr>
        <xdr:cNvPr id="24" name="Ned 23"/>
        <xdr:cNvSpPr/>
      </xdr:nvSpPr>
      <xdr:spPr>
        <a:xfrm>
          <a:off x="13378296" y="23743226"/>
          <a:ext cx="164523" cy="658092"/>
        </a:xfrm>
        <a:prstGeom prst="downArrow">
          <a:avLst/>
        </a:prstGeom>
        <a:solidFill>
          <a:srgbClr val="FF66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</xdr:row>
          <xdr:rowOff>9525</xdr:rowOff>
        </xdr:from>
        <xdr:to>
          <xdr:col>3</xdr:col>
          <xdr:colOff>161925</xdr:colOff>
          <xdr:row>8</xdr:row>
          <xdr:rowOff>28575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600075</xdr:colOff>
          <xdr:row>16</xdr:row>
          <xdr:rowOff>171450</xdr:rowOff>
        </xdr:from>
        <xdr:to>
          <xdr:col>4</xdr:col>
          <xdr:colOff>304800</xdr:colOff>
          <xdr:row>17</xdr:row>
          <xdr:rowOff>180975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20</xdr:row>
          <xdr:rowOff>0</xdr:rowOff>
        </xdr:from>
        <xdr:to>
          <xdr:col>4</xdr:col>
          <xdr:colOff>542925</xdr:colOff>
          <xdr:row>21</xdr:row>
          <xdr:rowOff>9525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0</xdr:rowOff>
        </xdr:from>
        <xdr:to>
          <xdr:col>3</xdr:col>
          <xdr:colOff>66675</xdr:colOff>
          <xdr:row>26</xdr:row>
          <xdr:rowOff>9525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555914</xdr:colOff>
      <xdr:row>1</xdr:row>
      <xdr:rowOff>38101</xdr:rowOff>
    </xdr:from>
    <xdr:to>
      <xdr:col>9</xdr:col>
      <xdr:colOff>574964</xdr:colOff>
      <xdr:row>3</xdr:row>
      <xdr:rowOff>0</xdr:rowOff>
    </xdr:to>
    <xdr:pic>
      <xdr:nvPicPr>
        <xdr:cNvPr id="10" name="Picture 2" descr="Macintosh HD:Users:markmasseur:Documents:Clients:Danaher:Thomson Collateral:Thomson_Letterhead :Thomson_Letterhead_head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420" t="34583" r="7782" b="26601"/>
        <a:stretch>
          <a:fillRect/>
        </a:stretch>
      </xdr:blipFill>
      <xdr:spPr bwMode="auto">
        <a:xfrm>
          <a:off x="3768437" y="540328"/>
          <a:ext cx="2443595" cy="6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173184</xdr:colOff>
      <xdr:row>20</xdr:row>
      <xdr:rowOff>17319</xdr:rowOff>
    </xdr:from>
    <xdr:to>
      <xdr:col>9</xdr:col>
      <xdr:colOff>562843</xdr:colOff>
      <xdr:row>26</xdr:row>
      <xdr:rowOff>7505</xdr:rowOff>
    </xdr:to>
    <xdr:pic>
      <xdr:nvPicPr>
        <xdr:cNvPr id="3" name="Bildobjekt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29843" y="3714751"/>
          <a:ext cx="2814204" cy="1133186"/>
        </a:xfrm>
        <a:prstGeom prst="rect">
          <a:avLst/>
        </a:prstGeom>
      </xdr:spPr>
    </xdr:pic>
    <xdr:clientData/>
  </xdr:twoCellAnchor>
  <xdr:twoCellAnchor>
    <xdr:from>
      <xdr:col>3</xdr:col>
      <xdr:colOff>389657</xdr:colOff>
      <xdr:row>55</xdr:row>
      <xdr:rowOff>103909</xdr:rowOff>
    </xdr:from>
    <xdr:to>
      <xdr:col>9</xdr:col>
      <xdr:colOff>571499</xdr:colOff>
      <xdr:row>68</xdr:row>
      <xdr:rowOff>121229</xdr:rowOff>
    </xdr:to>
    <xdr:graphicFrame macro="">
      <xdr:nvGraphicFramePr>
        <xdr:cNvPr id="16" name="Diagram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49</xdr:row>
          <xdr:rowOff>9525</xdr:rowOff>
        </xdr:from>
        <xdr:to>
          <xdr:col>6</xdr:col>
          <xdr:colOff>47625</xdr:colOff>
          <xdr:row>50</xdr:row>
          <xdr:rowOff>9525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43</xdr:row>
          <xdr:rowOff>9525</xdr:rowOff>
        </xdr:from>
        <xdr:to>
          <xdr:col>9</xdr:col>
          <xdr:colOff>123825</xdr:colOff>
          <xdr:row>44</xdr:row>
          <xdr:rowOff>9525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155864</xdr:colOff>
      <xdr:row>135</xdr:row>
      <xdr:rowOff>52819</xdr:rowOff>
    </xdr:from>
    <xdr:to>
      <xdr:col>21</xdr:col>
      <xdr:colOff>51956</xdr:colOff>
      <xdr:row>143</xdr:row>
      <xdr:rowOff>34635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619125</xdr:colOff>
          <xdr:row>108</xdr:row>
          <xdr:rowOff>171450</xdr:rowOff>
        </xdr:from>
        <xdr:to>
          <xdr:col>2</xdr:col>
          <xdr:colOff>581025</xdr:colOff>
          <xdr:row>110</xdr:row>
          <xdr:rowOff>0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115</xdr:row>
          <xdr:rowOff>171450</xdr:rowOff>
        </xdr:from>
        <xdr:to>
          <xdr:col>2</xdr:col>
          <xdr:colOff>571500</xdr:colOff>
          <xdr:row>116</xdr:row>
          <xdr:rowOff>123825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115</xdr:row>
          <xdr:rowOff>161925</xdr:rowOff>
        </xdr:from>
        <xdr:to>
          <xdr:col>8</xdr:col>
          <xdr:colOff>304800</xdr:colOff>
          <xdr:row>116</xdr:row>
          <xdr:rowOff>142875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115</xdr:row>
          <xdr:rowOff>180975</xdr:rowOff>
        </xdr:from>
        <xdr:to>
          <xdr:col>6</xdr:col>
          <xdr:colOff>428625</xdr:colOff>
          <xdr:row>116</xdr:row>
          <xdr:rowOff>133350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83</xdr:row>
          <xdr:rowOff>161925</xdr:rowOff>
        </xdr:from>
        <xdr:to>
          <xdr:col>9</xdr:col>
          <xdr:colOff>504825</xdr:colOff>
          <xdr:row>85</xdr:row>
          <xdr:rowOff>19050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180975</xdr:rowOff>
        </xdr:from>
        <xdr:to>
          <xdr:col>3</xdr:col>
          <xdr:colOff>57150</xdr:colOff>
          <xdr:row>12</xdr:row>
          <xdr:rowOff>19050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48</xdr:col>
      <xdr:colOff>129887</xdr:colOff>
      <xdr:row>4</xdr:row>
      <xdr:rowOff>77932</xdr:rowOff>
    </xdr:from>
    <xdr:to>
      <xdr:col>48</xdr:col>
      <xdr:colOff>588818</xdr:colOff>
      <xdr:row>8</xdr:row>
      <xdr:rowOff>112568</xdr:rowOff>
    </xdr:to>
    <xdr:cxnSp macro="">
      <xdr:nvCxnSpPr>
        <xdr:cNvPr id="6" name="Rak 5"/>
        <xdr:cNvCxnSpPr/>
      </xdr:nvCxnSpPr>
      <xdr:spPr>
        <a:xfrm>
          <a:off x="30150955" y="1697182"/>
          <a:ext cx="458931" cy="7879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51955</xdr:colOff>
      <xdr:row>27</xdr:row>
      <xdr:rowOff>164523</xdr:rowOff>
    </xdr:from>
    <xdr:to>
      <xdr:col>5</xdr:col>
      <xdr:colOff>0</xdr:colOff>
      <xdr:row>40</xdr:row>
      <xdr:rowOff>121227</xdr:rowOff>
    </xdr:to>
    <xdr:pic>
      <xdr:nvPicPr>
        <xdr:cNvPr id="5" name="Bildobjekt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955" y="6156614"/>
          <a:ext cx="3160568" cy="2337954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292</xdr:row>
      <xdr:rowOff>0</xdr:rowOff>
    </xdr:from>
    <xdr:to>
      <xdr:col>79</xdr:col>
      <xdr:colOff>6927</xdr:colOff>
      <xdr:row>1048576</xdr:row>
      <xdr:rowOff>164585</xdr:rowOff>
    </xdr:to>
    <xdr:pic>
      <xdr:nvPicPr>
        <xdr:cNvPr id="22" name="Bildobjekt 2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55477" y="55262318"/>
          <a:ext cx="3489614" cy="23181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</xdr:row>
          <xdr:rowOff>9525</xdr:rowOff>
        </xdr:from>
        <xdr:to>
          <xdr:col>3</xdr:col>
          <xdr:colOff>161925</xdr:colOff>
          <xdr:row>8</xdr:row>
          <xdr:rowOff>28575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20</xdr:row>
          <xdr:rowOff>0</xdr:rowOff>
        </xdr:from>
        <xdr:to>
          <xdr:col>4</xdr:col>
          <xdr:colOff>542925</xdr:colOff>
          <xdr:row>21</xdr:row>
          <xdr:rowOff>9525</xdr:rowOff>
        </xdr:to>
        <xdr:sp macro="" textlink="">
          <xdr:nvSpPr>
            <xdr:cNvPr id="9219" name="Drop Down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0</xdr:rowOff>
        </xdr:from>
        <xdr:to>
          <xdr:col>3</xdr:col>
          <xdr:colOff>66675</xdr:colOff>
          <xdr:row>26</xdr:row>
          <xdr:rowOff>9525</xdr:rowOff>
        </xdr:to>
        <xdr:sp macro="" textlink="">
          <xdr:nvSpPr>
            <xdr:cNvPr id="9220" name="Drop Down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555914</xdr:colOff>
      <xdr:row>1</xdr:row>
      <xdr:rowOff>38101</xdr:rowOff>
    </xdr:from>
    <xdr:to>
      <xdr:col>9</xdr:col>
      <xdr:colOff>574964</xdr:colOff>
      <xdr:row>3</xdr:row>
      <xdr:rowOff>0</xdr:rowOff>
    </xdr:to>
    <xdr:pic>
      <xdr:nvPicPr>
        <xdr:cNvPr id="6" name="Picture 2" descr="Macintosh HD:Users:markmasseur:Documents:Clients:Danaher:Thomson Collateral:Thomson_Letterhead :Thomson_Letterhead_head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420" t="34583" r="7782" b="26601"/>
        <a:stretch>
          <a:fillRect/>
        </a:stretch>
      </xdr:blipFill>
      <xdr:spPr bwMode="auto">
        <a:xfrm>
          <a:off x="3775364" y="542926"/>
          <a:ext cx="2457450" cy="66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389657</xdr:colOff>
      <xdr:row>55</xdr:row>
      <xdr:rowOff>103909</xdr:rowOff>
    </xdr:from>
    <xdr:to>
      <xdr:col>9</xdr:col>
      <xdr:colOff>571499</xdr:colOff>
      <xdr:row>68</xdr:row>
      <xdr:rowOff>121229</xdr:rowOff>
    </xdr:to>
    <xdr:graphicFrame macro="">
      <xdr:nvGraphicFramePr>
        <xdr:cNvPr id="8" name="Diagram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216477</xdr:colOff>
      <xdr:row>129</xdr:row>
      <xdr:rowOff>18183</xdr:rowOff>
    </xdr:from>
    <xdr:to>
      <xdr:col>22</xdr:col>
      <xdr:colOff>17320</xdr:colOff>
      <xdr:row>137</xdr:row>
      <xdr:rowOff>103908</xdr:rowOff>
    </xdr:to>
    <xdr:graphicFrame macro="">
      <xdr:nvGraphicFramePr>
        <xdr:cNvPr id="11" name="Diagram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619125</xdr:colOff>
          <xdr:row>107</xdr:row>
          <xdr:rowOff>171450</xdr:rowOff>
        </xdr:from>
        <xdr:to>
          <xdr:col>2</xdr:col>
          <xdr:colOff>581025</xdr:colOff>
          <xdr:row>109</xdr:row>
          <xdr:rowOff>0</xdr:rowOff>
        </xdr:to>
        <xdr:sp macro="" textlink="">
          <xdr:nvSpPr>
            <xdr:cNvPr id="9223" name="Drop Down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114</xdr:row>
          <xdr:rowOff>171450</xdr:rowOff>
        </xdr:from>
        <xdr:to>
          <xdr:col>2</xdr:col>
          <xdr:colOff>571500</xdr:colOff>
          <xdr:row>115</xdr:row>
          <xdr:rowOff>171450</xdr:rowOff>
        </xdr:to>
        <xdr:sp macro="" textlink="">
          <xdr:nvSpPr>
            <xdr:cNvPr id="9224" name="Drop Down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114</xdr:row>
          <xdr:rowOff>161925</xdr:rowOff>
        </xdr:from>
        <xdr:to>
          <xdr:col>8</xdr:col>
          <xdr:colOff>304800</xdr:colOff>
          <xdr:row>115</xdr:row>
          <xdr:rowOff>190500</xdr:rowOff>
        </xdr:to>
        <xdr:sp macro="" textlink="">
          <xdr:nvSpPr>
            <xdr:cNvPr id="9225" name="Drop Down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114</xdr:row>
          <xdr:rowOff>180975</xdr:rowOff>
        </xdr:from>
        <xdr:to>
          <xdr:col>6</xdr:col>
          <xdr:colOff>428625</xdr:colOff>
          <xdr:row>115</xdr:row>
          <xdr:rowOff>180975</xdr:rowOff>
        </xdr:to>
        <xdr:sp macro="" textlink="">
          <xdr:nvSpPr>
            <xdr:cNvPr id="9226" name="Drop Down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82</xdr:row>
          <xdr:rowOff>161925</xdr:rowOff>
        </xdr:from>
        <xdr:to>
          <xdr:col>9</xdr:col>
          <xdr:colOff>504825</xdr:colOff>
          <xdr:row>84</xdr:row>
          <xdr:rowOff>19050</xdr:rowOff>
        </xdr:to>
        <xdr:sp macro="" textlink="">
          <xdr:nvSpPr>
            <xdr:cNvPr id="9227" name="Drop Down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180975</xdr:rowOff>
        </xdr:from>
        <xdr:to>
          <xdr:col>3</xdr:col>
          <xdr:colOff>57150</xdr:colOff>
          <xdr:row>12</xdr:row>
          <xdr:rowOff>19050</xdr:rowOff>
        </xdr:to>
        <xdr:sp macro="" textlink="">
          <xdr:nvSpPr>
            <xdr:cNvPr id="9228" name="Drop Down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48</xdr:col>
      <xdr:colOff>129887</xdr:colOff>
      <xdr:row>4</xdr:row>
      <xdr:rowOff>77932</xdr:rowOff>
    </xdr:from>
    <xdr:to>
      <xdr:col>48</xdr:col>
      <xdr:colOff>588818</xdr:colOff>
      <xdr:row>8</xdr:row>
      <xdr:rowOff>112568</xdr:rowOff>
    </xdr:to>
    <xdr:cxnSp macro="">
      <xdr:nvCxnSpPr>
        <xdr:cNvPr id="18" name="Rak 17"/>
        <xdr:cNvCxnSpPr/>
      </xdr:nvCxnSpPr>
      <xdr:spPr>
        <a:xfrm>
          <a:off x="6257925" y="1478107"/>
          <a:ext cx="0" cy="787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51955</xdr:colOff>
      <xdr:row>27</xdr:row>
      <xdr:rowOff>164523</xdr:rowOff>
    </xdr:from>
    <xdr:to>
      <xdr:col>5</xdr:col>
      <xdr:colOff>0</xdr:colOff>
      <xdr:row>40</xdr:row>
      <xdr:rowOff>112568</xdr:rowOff>
    </xdr:to>
    <xdr:pic>
      <xdr:nvPicPr>
        <xdr:cNvPr id="19" name="Bildobjekt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955" y="5936673"/>
          <a:ext cx="3167495" cy="232842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292</xdr:row>
      <xdr:rowOff>0</xdr:rowOff>
    </xdr:from>
    <xdr:to>
      <xdr:col>94</xdr:col>
      <xdr:colOff>6927</xdr:colOff>
      <xdr:row>1048576</xdr:row>
      <xdr:rowOff>165451</xdr:rowOff>
    </xdr:to>
    <xdr:pic>
      <xdr:nvPicPr>
        <xdr:cNvPr id="20" name="Bildobjekt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57925" y="55111650"/>
          <a:ext cx="616527" cy="23077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32</xdr:row>
          <xdr:rowOff>171450</xdr:rowOff>
        </xdr:from>
        <xdr:to>
          <xdr:col>7</xdr:col>
          <xdr:colOff>304800</xdr:colOff>
          <xdr:row>34</xdr:row>
          <xdr:rowOff>47625</xdr:rowOff>
        </xdr:to>
        <xdr:sp macro="" textlink="">
          <xdr:nvSpPr>
            <xdr:cNvPr id="9229" name="Drop Down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312420</xdr:colOff>
      <xdr:row>21</xdr:row>
      <xdr:rowOff>99060</xdr:rowOff>
    </xdr:from>
    <xdr:to>
      <xdr:col>3</xdr:col>
      <xdr:colOff>457200</xdr:colOff>
      <xdr:row>22</xdr:row>
      <xdr:rowOff>68580</xdr:rowOff>
    </xdr:to>
    <xdr:sp macro="" textlink="">
      <xdr:nvSpPr>
        <xdr:cNvPr id="2" name="Oval 5"/>
        <xdr:cNvSpPr>
          <a:spLocks noChangeArrowheads="1"/>
        </xdr:cNvSpPr>
      </xdr:nvSpPr>
      <xdr:spPr bwMode="auto">
        <a:xfrm>
          <a:off x="2607945" y="4137660"/>
          <a:ext cx="144780" cy="16002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9525">
          <a:round/>
          <a:headEnd/>
          <a:tailEnd/>
        </a:ln>
        <a:effectLst/>
        <a:scene3d>
          <a:camera prst="legacyObliqueTopRight"/>
          <a:lightRig rig="legacyFlat3" dir="b"/>
        </a:scene3d>
        <a:sp3d extrusionH="430200" prstMaterial="legacyMatte">
          <a:bevelT w="13500" h="13500" prst="angle"/>
          <a:bevelB w="13500" h="13500" prst="angle"/>
          <a:extrusionClr>
            <a:srgbClr xmlns:mc="http://schemas.openxmlformats.org/markup-compatibility/2006" xmlns:a14="http://schemas.microsoft.com/office/drawing/2010/main" val="808080" mc:Ignorable="a14" a14:legacySpreadsheetColorIndex="23"/>
          </a:extrusionClr>
        </a:sp3d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411480</xdr:colOff>
      <xdr:row>21</xdr:row>
      <xdr:rowOff>99060</xdr:rowOff>
    </xdr:from>
    <xdr:to>
      <xdr:col>2</xdr:col>
      <xdr:colOff>556260</xdr:colOff>
      <xdr:row>22</xdr:row>
      <xdr:rowOff>68580</xdr:rowOff>
    </xdr:to>
    <xdr:sp macro="" textlink="">
      <xdr:nvSpPr>
        <xdr:cNvPr id="3" name="Oval 4"/>
        <xdr:cNvSpPr>
          <a:spLocks noChangeArrowheads="1"/>
        </xdr:cNvSpPr>
      </xdr:nvSpPr>
      <xdr:spPr bwMode="auto">
        <a:xfrm>
          <a:off x="2097405" y="4137660"/>
          <a:ext cx="144780" cy="16002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9525">
          <a:round/>
          <a:headEnd/>
          <a:tailEnd/>
        </a:ln>
        <a:effectLst/>
        <a:scene3d>
          <a:camera prst="legacyObliqueTopRight"/>
          <a:lightRig rig="legacyFlat3" dir="b"/>
        </a:scene3d>
        <a:sp3d extrusionH="430200" prstMaterial="legacyMatte">
          <a:bevelT w="13500" h="13500" prst="angle"/>
          <a:bevelB w="13500" h="13500" prst="angle"/>
          <a:extrusionClr>
            <a:srgbClr xmlns:mc="http://schemas.openxmlformats.org/markup-compatibility/2006" xmlns:a14="http://schemas.microsoft.com/office/drawing/2010/main" val="808080" mc:Ignorable="a14" a14:legacySpreadsheetColorIndex="23"/>
          </a:extrusionClr>
        </a:sp3d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304800</xdr:colOff>
      <xdr:row>18</xdr:row>
      <xdr:rowOff>76200</xdr:rowOff>
    </xdr:from>
    <xdr:to>
      <xdr:col>3</xdr:col>
      <xdr:colOff>601980</xdr:colOff>
      <xdr:row>21</xdr:row>
      <xdr:rowOff>91440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1990725" y="3543300"/>
          <a:ext cx="906780" cy="5867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miter lim="800000"/>
          <a:headEnd/>
          <a:tailEnd/>
        </a:ln>
        <a:effectLst/>
        <a:scene3d>
          <a:camera prst="legacyObliqueTopRight"/>
          <a:lightRig rig="legacyFlat3" dir="b"/>
        </a:scene3d>
        <a:sp3d extrusionH="430200" prstMaterial="legacyMatte">
          <a:bevelT w="13500" h="13500" prst="angle"/>
          <a:bevelB w="13500" h="13500" prst="angle"/>
          <a:extrusionClr>
            <a:srgbClr xmlns:mc="http://schemas.openxmlformats.org/markup-compatibility/2006" xmlns:a14="http://schemas.microsoft.com/office/drawing/2010/main" val="FFFFFF" mc:Ignorable="a14" a14:legacySpreadsheetColorIndex="9"/>
          </a:extrusionClr>
        </a:sp3d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76200</xdr:colOff>
      <xdr:row>19</xdr:row>
      <xdr:rowOff>106680</xdr:rowOff>
    </xdr:from>
    <xdr:to>
      <xdr:col>4</xdr:col>
      <xdr:colOff>533400</xdr:colOff>
      <xdr:row>19</xdr:row>
      <xdr:rowOff>106680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2981325" y="3764280"/>
          <a:ext cx="4572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579120</xdr:colOff>
      <xdr:row>19</xdr:row>
      <xdr:rowOff>106680</xdr:rowOff>
    </xdr:from>
    <xdr:to>
      <xdr:col>3</xdr:col>
      <xdr:colOff>403860</xdr:colOff>
      <xdr:row>20</xdr:row>
      <xdr:rowOff>129540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2265045" y="3764280"/>
          <a:ext cx="434340" cy="2133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Mass</a:t>
          </a:r>
          <a:endParaRPr lang="sv-SE"/>
        </a:p>
      </xdr:txBody>
    </xdr:sp>
    <xdr:clientData/>
  </xdr:twoCellAnchor>
  <xdr:twoCellAnchor>
    <xdr:from>
      <xdr:col>5</xdr:col>
      <xdr:colOff>533400</xdr:colOff>
      <xdr:row>25</xdr:row>
      <xdr:rowOff>30480</xdr:rowOff>
    </xdr:from>
    <xdr:to>
      <xdr:col>7</xdr:col>
      <xdr:colOff>220980</xdr:colOff>
      <xdr:row>28</xdr:row>
      <xdr:rowOff>38100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4048125" y="4831080"/>
          <a:ext cx="906780" cy="5791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miter lim="800000"/>
          <a:headEnd/>
          <a:tailEnd/>
        </a:ln>
        <a:effectLst/>
        <a:scene3d>
          <a:camera prst="legacyObliqueTopRight"/>
          <a:lightRig rig="legacyFlat3" dir="b"/>
        </a:scene3d>
        <a:sp3d extrusionH="430200" prstMaterial="legacyMatte">
          <a:bevelT w="13500" h="13500" prst="angle"/>
          <a:bevelB w="13500" h="13500" prst="angle"/>
          <a:extrusionClr>
            <a:srgbClr xmlns:mc="http://schemas.openxmlformats.org/markup-compatibility/2006" xmlns:a14="http://schemas.microsoft.com/office/drawing/2010/main" val="FFFFFF" mc:Ignorable="a14" a14:legacySpreadsheetColorIndex="9"/>
          </a:extrusionClr>
        </a:sp3d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137160</xdr:colOff>
      <xdr:row>26</xdr:row>
      <xdr:rowOff>0</xdr:rowOff>
    </xdr:from>
    <xdr:to>
      <xdr:col>6</xdr:col>
      <xdr:colOff>563880</xdr:colOff>
      <xdr:row>27</xdr:row>
      <xdr:rowOff>22860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61485" y="4991100"/>
          <a:ext cx="426720" cy="2133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Mass</a:t>
          </a:r>
          <a:endParaRPr lang="sv-SE"/>
        </a:p>
      </xdr:txBody>
    </xdr:sp>
    <xdr:clientData/>
  </xdr:twoCellAnchor>
  <xdr:twoCellAnchor>
    <xdr:from>
      <xdr:col>6</xdr:col>
      <xdr:colOff>419100</xdr:colOff>
      <xdr:row>22</xdr:row>
      <xdr:rowOff>7620</xdr:rowOff>
    </xdr:from>
    <xdr:to>
      <xdr:col>6</xdr:col>
      <xdr:colOff>419100</xdr:colOff>
      <xdr:row>24</xdr:row>
      <xdr:rowOff>99060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543425" y="4236720"/>
          <a:ext cx="0" cy="47244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99060</xdr:colOff>
      <xdr:row>22</xdr:row>
      <xdr:rowOff>99060</xdr:rowOff>
    </xdr:from>
    <xdr:to>
      <xdr:col>4</xdr:col>
      <xdr:colOff>266700</xdr:colOff>
      <xdr:row>22</xdr:row>
      <xdr:rowOff>99060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784985" y="4328160"/>
          <a:ext cx="13868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60960</xdr:colOff>
      <xdr:row>34</xdr:row>
      <xdr:rowOff>137160</xdr:rowOff>
    </xdr:from>
    <xdr:to>
      <xdr:col>1</xdr:col>
      <xdr:colOff>464820</xdr:colOff>
      <xdr:row>39</xdr:row>
      <xdr:rowOff>30480</xdr:rowOff>
    </xdr:to>
    <xdr:pic>
      <xdr:nvPicPr>
        <xdr:cNvPr id="11" name="Picture 10" descr="Commercial_Vehicle_Braking_Spring">
          <a:hlinkClick xmlns:r="http://schemas.openxmlformats.org/officeDocument/2006/relationships" r:id="rId1" tgtFrame="_top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94" r="65594" b="28113"/>
        <a:stretch>
          <a:fillRect/>
        </a:stretch>
      </xdr:blipFill>
      <xdr:spPr bwMode="auto">
        <a:xfrm>
          <a:off x="1137285" y="6652260"/>
          <a:ext cx="40386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923925</xdr:colOff>
      <xdr:row>67</xdr:row>
      <xdr:rowOff>0</xdr:rowOff>
    </xdr:from>
    <xdr:to>
      <xdr:col>7</xdr:col>
      <xdr:colOff>476250</xdr:colOff>
      <xdr:row>68</xdr:row>
      <xdr:rowOff>28575</xdr:rowOff>
    </xdr:to>
    <xdr:sp macro="" textlink="">
      <xdr:nvSpPr>
        <xdr:cNvPr id="12" name="Rektangel 11"/>
        <xdr:cNvSpPr/>
      </xdr:nvSpPr>
      <xdr:spPr>
        <a:xfrm>
          <a:off x="923925" y="12801600"/>
          <a:ext cx="4286250" cy="21907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19050</xdr:colOff>
      <xdr:row>66</xdr:row>
      <xdr:rowOff>123825</xdr:rowOff>
    </xdr:from>
    <xdr:to>
      <xdr:col>2</xdr:col>
      <xdr:colOff>523875</xdr:colOff>
      <xdr:row>67</xdr:row>
      <xdr:rowOff>0</xdr:rowOff>
    </xdr:to>
    <xdr:sp macro="" textlink="">
      <xdr:nvSpPr>
        <xdr:cNvPr id="13" name="Rektangel 12"/>
        <xdr:cNvSpPr/>
      </xdr:nvSpPr>
      <xdr:spPr>
        <a:xfrm>
          <a:off x="1704975" y="12734925"/>
          <a:ext cx="504825" cy="6667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329866</xdr:colOff>
      <xdr:row>66</xdr:row>
      <xdr:rowOff>123825</xdr:rowOff>
    </xdr:from>
    <xdr:to>
      <xdr:col>4</xdr:col>
      <xdr:colOff>223085</xdr:colOff>
      <xdr:row>67</xdr:row>
      <xdr:rowOff>0</xdr:rowOff>
    </xdr:to>
    <xdr:sp macro="" textlink="">
      <xdr:nvSpPr>
        <xdr:cNvPr id="14" name="Rektangel 13"/>
        <xdr:cNvSpPr/>
      </xdr:nvSpPr>
      <xdr:spPr>
        <a:xfrm>
          <a:off x="2625391" y="12734925"/>
          <a:ext cx="502819" cy="6667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15040</xdr:colOff>
      <xdr:row>65</xdr:row>
      <xdr:rowOff>180474</xdr:rowOff>
    </xdr:from>
    <xdr:to>
      <xdr:col>4</xdr:col>
      <xdr:colOff>220579</xdr:colOff>
      <xdr:row>66</xdr:row>
      <xdr:rowOff>110290</xdr:rowOff>
    </xdr:to>
    <xdr:sp macro="" textlink="">
      <xdr:nvSpPr>
        <xdr:cNvPr id="15" name="Rektangel 14"/>
        <xdr:cNvSpPr/>
      </xdr:nvSpPr>
      <xdr:spPr>
        <a:xfrm>
          <a:off x="1700965" y="12601074"/>
          <a:ext cx="1424739" cy="12031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4</xdr:col>
      <xdr:colOff>290763</xdr:colOff>
      <xdr:row>65</xdr:row>
      <xdr:rowOff>105277</xdr:rowOff>
    </xdr:from>
    <xdr:to>
      <xdr:col>4</xdr:col>
      <xdr:colOff>546434</xdr:colOff>
      <xdr:row>66</xdr:row>
      <xdr:rowOff>0</xdr:rowOff>
    </xdr:to>
    <xdr:cxnSp macro="">
      <xdr:nvCxnSpPr>
        <xdr:cNvPr id="16" name="Rak pil 15"/>
        <xdr:cNvCxnSpPr/>
      </xdr:nvCxnSpPr>
      <xdr:spPr>
        <a:xfrm flipH="1">
          <a:off x="3195888" y="12525877"/>
          <a:ext cx="255671" cy="852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387517</xdr:colOff>
      <xdr:row>66</xdr:row>
      <xdr:rowOff>180474</xdr:rowOff>
    </xdr:from>
    <xdr:to>
      <xdr:col>9</xdr:col>
      <xdr:colOff>25066</xdr:colOff>
      <xdr:row>68</xdr:row>
      <xdr:rowOff>18549</xdr:rowOff>
    </xdr:to>
    <xdr:sp macro="" textlink="">
      <xdr:nvSpPr>
        <xdr:cNvPr id="17" name="Rektangel 16"/>
        <xdr:cNvSpPr/>
      </xdr:nvSpPr>
      <xdr:spPr>
        <a:xfrm>
          <a:off x="5731042" y="12791574"/>
          <a:ext cx="247149" cy="21907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8</xdr:col>
      <xdr:colOff>415089</xdr:colOff>
      <xdr:row>66</xdr:row>
      <xdr:rowOff>124728</xdr:rowOff>
    </xdr:from>
    <xdr:to>
      <xdr:col>8</xdr:col>
      <xdr:colOff>596566</xdr:colOff>
      <xdr:row>66</xdr:row>
      <xdr:rowOff>170447</xdr:rowOff>
    </xdr:to>
    <xdr:sp macro="" textlink="">
      <xdr:nvSpPr>
        <xdr:cNvPr id="18" name="Rektangel 17"/>
        <xdr:cNvSpPr/>
      </xdr:nvSpPr>
      <xdr:spPr>
        <a:xfrm>
          <a:off x="5758614" y="12735828"/>
          <a:ext cx="181477" cy="45719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10</xdr:col>
      <xdr:colOff>66675</xdr:colOff>
      <xdr:row>66</xdr:row>
      <xdr:rowOff>170448</xdr:rowOff>
    </xdr:from>
    <xdr:to>
      <xdr:col>10</xdr:col>
      <xdr:colOff>315829</xdr:colOff>
      <xdr:row>68</xdr:row>
      <xdr:rowOff>8523</xdr:rowOff>
    </xdr:to>
    <xdr:sp macro="" textlink="">
      <xdr:nvSpPr>
        <xdr:cNvPr id="19" name="Rektangel 18"/>
        <xdr:cNvSpPr/>
      </xdr:nvSpPr>
      <xdr:spPr>
        <a:xfrm>
          <a:off x="6629400" y="12781548"/>
          <a:ext cx="249154" cy="21907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10</xdr:col>
      <xdr:colOff>104274</xdr:colOff>
      <xdr:row>66</xdr:row>
      <xdr:rowOff>124728</xdr:rowOff>
    </xdr:from>
    <xdr:to>
      <xdr:col>10</xdr:col>
      <xdr:colOff>285751</xdr:colOff>
      <xdr:row>66</xdr:row>
      <xdr:rowOff>170447</xdr:rowOff>
    </xdr:to>
    <xdr:sp macro="" textlink="">
      <xdr:nvSpPr>
        <xdr:cNvPr id="20" name="Rektangel 19"/>
        <xdr:cNvSpPr/>
      </xdr:nvSpPr>
      <xdr:spPr>
        <a:xfrm>
          <a:off x="6666999" y="12735828"/>
          <a:ext cx="181477" cy="45719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8</xdr:col>
      <xdr:colOff>421106</xdr:colOff>
      <xdr:row>66</xdr:row>
      <xdr:rowOff>10027</xdr:rowOff>
    </xdr:from>
    <xdr:to>
      <xdr:col>10</xdr:col>
      <xdr:colOff>280737</xdr:colOff>
      <xdr:row>66</xdr:row>
      <xdr:rowOff>115904</xdr:rowOff>
    </xdr:to>
    <xdr:sp macro="" textlink="">
      <xdr:nvSpPr>
        <xdr:cNvPr id="21" name="Rektangel 20"/>
        <xdr:cNvSpPr/>
      </xdr:nvSpPr>
      <xdr:spPr>
        <a:xfrm>
          <a:off x="5764631" y="12621127"/>
          <a:ext cx="1078831" cy="10587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4</xdr:col>
      <xdr:colOff>6518</xdr:colOff>
      <xdr:row>71</xdr:row>
      <xdr:rowOff>10027</xdr:rowOff>
    </xdr:from>
    <xdr:to>
      <xdr:col>9</xdr:col>
      <xdr:colOff>381001</xdr:colOff>
      <xdr:row>71</xdr:row>
      <xdr:rowOff>180475</xdr:rowOff>
    </xdr:to>
    <xdr:sp macro="" textlink="">
      <xdr:nvSpPr>
        <xdr:cNvPr id="22" name="Rektangel 21"/>
        <xdr:cNvSpPr/>
      </xdr:nvSpPr>
      <xdr:spPr>
        <a:xfrm>
          <a:off x="2911643" y="13573627"/>
          <a:ext cx="3422483" cy="170448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4</xdr:col>
      <xdr:colOff>11530</xdr:colOff>
      <xdr:row>74</xdr:row>
      <xdr:rowOff>185488</xdr:rowOff>
    </xdr:from>
    <xdr:to>
      <xdr:col>9</xdr:col>
      <xdr:colOff>386013</xdr:colOff>
      <xdr:row>75</xdr:row>
      <xdr:rowOff>165436</xdr:rowOff>
    </xdr:to>
    <xdr:sp macro="" textlink="">
      <xdr:nvSpPr>
        <xdr:cNvPr id="23" name="Rektangel 22"/>
        <xdr:cNvSpPr/>
      </xdr:nvSpPr>
      <xdr:spPr>
        <a:xfrm>
          <a:off x="2916655" y="14320588"/>
          <a:ext cx="3422483" cy="170448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8</xdr:col>
      <xdr:colOff>4010</xdr:colOff>
      <xdr:row>71</xdr:row>
      <xdr:rowOff>38602</xdr:rowOff>
    </xdr:from>
    <xdr:to>
      <xdr:col>8</xdr:col>
      <xdr:colOff>508835</xdr:colOff>
      <xdr:row>71</xdr:row>
      <xdr:rowOff>150395</xdr:rowOff>
    </xdr:to>
    <xdr:sp macro="" textlink="">
      <xdr:nvSpPr>
        <xdr:cNvPr id="24" name="Rektangel 23"/>
        <xdr:cNvSpPr/>
      </xdr:nvSpPr>
      <xdr:spPr>
        <a:xfrm>
          <a:off x="5347535" y="13602202"/>
          <a:ext cx="504825" cy="111793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8</xdr:col>
      <xdr:colOff>19050</xdr:colOff>
      <xdr:row>75</xdr:row>
      <xdr:rowOff>23563</xdr:rowOff>
    </xdr:from>
    <xdr:to>
      <xdr:col>8</xdr:col>
      <xdr:colOff>523875</xdr:colOff>
      <xdr:row>75</xdr:row>
      <xdr:rowOff>135356</xdr:rowOff>
    </xdr:to>
    <xdr:sp macro="" textlink="">
      <xdr:nvSpPr>
        <xdr:cNvPr id="25" name="Rektangel 24"/>
        <xdr:cNvSpPr/>
      </xdr:nvSpPr>
      <xdr:spPr>
        <a:xfrm>
          <a:off x="5362575" y="14349163"/>
          <a:ext cx="504825" cy="111793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6</xdr:col>
      <xdr:colOff>99261</xdr:colOff>
      <xdr:row>71</xdr:row>
      <xdr:rowOff>38601</xdr:rowOff>
    </xdr:from>
    <xdr:to>
      <xdr:col>6</xdr:col>
      <xdr:colOff>604086</xdr:colOff>
      <xdr:row>71</xdr:row>
      <xdr:rowOff>150394</xdr:rowOff>
    </xdr:to>
    <xdr:sp macro="" textlink="">
      <xdr:nvSpPr>
        <xdr:cNvPr id="26" name="Rektangel 25"/>
        <xdr:cNvSpPr/>
      </xdr:nvSpPr>
      <xdr:spPr>
        <a:xfrm>
          <a:off x="4223586" y="13602201"/>
          <a:ext cx="504825" cy="111793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6</xdr:col>
      <xdr:colOff>94248</xdr:colOff>
      <xdr:row>75</xdr:row>
      <xdr:rowOff>23562</xdr:rowOff>
    </xdr:from>
    <xdr:to>
      <xdr:col>6</xdr:col>
      <xdr:colOff>599073</xdr:colOff>
      <xdr:row>75</xdr:row>
      <xdr:rowOff>135355</xdr:rowOff>
    </xdr:to>
    <xdr:sp macro="" textlink="">
      <xdr:nvSpPr>
        <xdr:cNvPr id="27" name="Rektangel 26"/>
        <xdr:cNvSpPr/>
      </xdr:nvSpPr>
      <xdr:spPr>
        <a:xfrm>
          <a:off x="4218573" y="14349162"/>
          <a:ext cx="504825" cy="111793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6</xdr:col>
      <xdr:colOff>60158</xdr:colOff>
      <xdr:row>70</xdr:row>
      <xdr:rowOff>170448</xdr:rowOff>
    </xdr:from>
    <xdr:to>
      <xdr:col>8</xdr:col>
      <xdr:colOff>546434</xdr:colOff>
      <xdr:row>75</xdr:row>
      <xdr:rowOff>185487</xdr:rowOff>
    </xdr:to>
    <xdr:sp macro="" textlink="">
      <xdr:nvSpPr>
        <xdr:cNvPr id="28" name="Rektangel 27"/>
        <xdr:cNvSpPr/>
      </xdr:nvSpPr>
      <xdr:spPr>
        <a:xfrm>
          <a:off x="4184483" y="13543548"/>
          <a:ext cx="1705476" cy="967539"/>
        </a:xfrm>
        <a:prstGeom prst="rect">
          <a:avLst/>
        </a:prstGeom>
        <a:solidFill>
          <a:srgbClr val="66CCFF">
            <a:alpha val="14118"/>
          </a:srgbClr>
        </a:solidFill>
        <a:ln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312420</xdr:colOff>
      <xdr:row>21</xdr:row>
      <xdr:rowOff>99060</xdr:rowOff>
    </xdr:from>
    <xdr:to>
      <xdr:col>3</xdr:col>
      <xdr:colOff>457200</xdr:colOff>
      <xdr:row>22</xdr:row>
      <xdr:rowOff>68580</xdr:rowOff>
    </xdr:to>
    <xdr:sp macro="" textlink="">
      <xdr:nvSpPr>
        <xdr:cNvPr id="2" name="Oval 5"/>
        <xdr:cNvSpPr>
          <a:spLocks noChangeArrowheads="1"/>
        </xdr:cNvSpPr>
      </xdr:nvSpPr>
      <xdr:spPr bwMode="auto">
        <a:xfrm>
          <a:off x="2426970" y="3585210"/>
          <a:ext cx="144780" cy="13144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9525">
          <a:round/>
          <a:headEnd/>
          <a:tailEnd/>
        </a:ln>
        <a:effectLst/>
        <a:scene3d>
          <a:camera prst="legacyObliqueTopRight"/>
          <a:lightRig rig="legacyFlat3" dir="b"/>
        </a:scene3d>
        <a:sp3d extrusionH="430200" prstMaterial="legacyMatte">
          <a:bevelT w="13500" h="13500" prst="angle"/>
          <a:bevelB w="13500" h="13500" prst="angle"/>
          <a:extrusionClr>
            <a:srgbClr xmlns:mc="http://schemas.openxmlformats.org/markup-compatibility/2006" xmlns:a14="http://schemas.microsoft.com/office/drawing/2010/main" val="808080" mc:Ignorable="a14" a14:legacySpreadsheetColorIndex="23"/>
          </a:extrusionClr>
        </a:sp3d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411480</xdr:colOff>
      <xdr:row>21</xdr:row>
      <xdr:rowOff>99060</xdr:rowOff>
    </xdr:from>
    <xdr:to>
      <xdr:col>2</xdr:col>
      <xdr:colOff>556260</xdr:colOff>
      <xdr:row>22</xdr:row>
      <xdr:rowOff>68580</xdr:rowOff>
    </xdr:to>
    <xdr:sp macro="" textlink="">
      <xdr:nvSpPr>
        <xdr:cNvPr id="3" name="Oval 4"/>
        <xdr:cNvSpPr>
          <a:spLocks noChangeArrowheads="1"/>
        </xdr:cNvSpPr>
      </xdr:nvSpPr>
      <xdr:spPr bwMode="auto">
        <a:xfrm>
          <a:off x="1916430" y="3585210"/>
          <a:ext cx="144780" cy="13144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9525">
          <a:round/>
          <a:headEnd/>
          <a:tailEnd/>
        </a:ln>
        <a:effectLst/>
        <a:scene3d>
          <a:camera prst="legacyObliqueTopRight"/>
          <a:lightRig rig="legacyFlat3" dir="b"/>
        </a:scene3d>
        <a:sp3d extrusionH="430200" prstMaterial="legacyMatte">
          <a:bevelT w="13500" h="13500" prst="angle"/>
          <a:bevelB w="13500" h="13500" prst="angle"/>
          <a:extrusionClr>
            <a:srgbClr xmlns:mc="http://schemas.openxmlformats.org/markup-compatibility/2006" xmlns:a14="http://schemas.microsoft.com/office/drawing/2010/main" val="808080" mc:Ignorable="a14" a14:legacySpreadsheetColorIndex="23"/>
          </a:extrusionClr>
        </a:sp3d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304800</xdr:colOff>
      <xdr:row>18</xdr:row>
      <xdr:rowOff>76200</xdr:rowOff>
    </xdr:from>
    <xdr:to>
      <xdr:col>3</xdr:col>
      <xdr:colOff>601980</xdr:colOff>
      <xdr:row>21</xdr:row>
      <xdr:rowOff>91440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1809750" y="3076575"/>
          <a:ext cx="906780" cy="5010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miter lim="800000"/>
          <a:headEnd/>
          <a:tailEnd/>
        </a:ln>
        <a:effectLst/>
        <a:scene3d>
          <a:camera prst="legacyObliqueTopRight"/>
          <a:lightRig rig="legacyFlat3" dir="b"/>
        </a:scene3d>
        <a:sp3d extrusionH="430200" prstMaterial="legacyMatte">
          <a:bevelT w="13500" h="13500" prst="angle"/>
          <a:bevelB w="13500" h="13500" prst="angle"/>
          <a:extrusionClr>
            <a:srgbClr xmlns:mc="http://schemas.openxmlformats.org/markup-compatibility/2006" xmlns:a14="http://schemas.microsoft.com/office/drawing/2010/main" val="FFFFFF" mc:Ignorable="a14" a14:legacySpreadsheetColorIndex="9"/>
          </a:extrusionClr>
        </a:sp3d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76200</xdr:colOff>
      <xdr:row>19</xdr:row>
      <xdr:rowOff>106680</xdr:rowOff>
    </xdr:from>
    <xdr:to>
      <xdr:col>4</xdr:col>
      <xdr:colOff>533400</xdr:colOff>
      <xdr:row>19</xdr:row>
      <xdr:rowOff>106680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2800350" y="3268980"/>
          <a:ext cx="4572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579120</xdr:colOff>
      <xdr:row>19</xdr:row>
      <xdr:rowOff>106680</xdr:rowOff>
    </xdr:from>
    <xdr:to>
      <xdr:col>3</xdr:col>
      <xdr:colOff>403860</xdr:colOff>
      <xdr:row>20</xdr:row>
      <xdr:rowOff>129540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2084070" y="3268980"/>
          <a:ext cx="434340" cy="1847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Mass</a:t>
          </a:r>
          <a:endParaRPr lang="sv-SE"/>
        </a:p>
      </xdr:txBody>
    </xdr:sp>
    <xdr:clientData/>
  </xdr:twoCellAnchor>
  <xdr:twoCellAnchor>
    <xdr:from>
      <xdr:col>5</xdr:col>
      <xdr:colOff>533400</xdr:colOff>
      <xdr:row>25</xdr:row>
      <xdr:rowOff>30480</xdr:rowOff>
    </xdr:from>
    <xdr:to>
      <xdr:col>7</xdr:col>
      <xdr:colOff>220980</xdr:colOff>
      <xdr:row>28</xdr:row>
      <xdr:rowOff>38100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67150" y="4164330"/>
          <a:ext cx="906780" cy="4933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miter lim="800000"/>
          <a:headEnd/>
          <a:tailEnd/>
        </a:ln>
        <a:effectLst/>
        <a:scene3d>
          <a:camera prst="legacyObliqueTopRight"/>
          <a:lightRig rig="legacyFlat3" dir="b"/>
        </a:scene3d>
        <a:sp3d extrusionH="430200" prstMaterial="legacyMatte">
          <a:bevelT w="13500" h="13500" prst="angle"/>
          <a:bevelB w="13500" h="13500" prst="angle"/>
          <a:extrusionClr>
            <a:srgbClr xmlns:mc="http://schemas.openxmlformats.org/markup-compatibility/2006" xmlns:a14="http://schemas.microsoft.com/office/drawing/2010/main" val="FFFFFF" mc:Ignorable="a14" a14:legacySpreadsheetColorIndex="9"/>
          </a:extrusionClr>
        </a:sp3d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137160</xdr:colOff>
      <xdr:row>26</xdr:row>
      <xdr:rowOff>0</xdr:rowOff>
    </xdr:from>
    <xdr:to>
      <xdr:col>6</xdr:col>
      <xdr:colOff>563880</xdr:colOff>
      <xdr:row>27</xdr:row>
      <xdr:rowOff>22860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080510" y="4295775"/>
          <a:ext cx="426720" cy="1847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Mass</a:t>
          </a:r>
          <a:endParaRPr lang="sv-SE"/>
        </a:p>
      </xdr:txBody>
    </xdr:sp>
    <xdr:clientData/>
  </xdr:twoCellAnchor>
  <xdr:twoCellAnchor>
    <xdr:from>
      <xdr:col>6</xdr:col>
      <xdr:colOff>419100</xdr:colOff>
      <xdr:row>22</xdr:row>
      <xdr:rowOff>7620</xdr:rowOff>
    </xdr:from>
    <xdr:to>
      <xdr:col>6</xdr:col>
      <xdr:colOff>419100</xdr:colOff>
      <xdr:row>24</xdr:row>
      <xdr:rowOff>99060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362450" y="3655695"/>
          <a:ext cx="0" cy="41529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99060</xdr:colOff>
      <xdr:row>22</xdr:row>
      <xdr:rowOff>99060</xdr:rowOff>
    </xdr:from>
    <xdr:to>
      <xdr:col>4</xdr:col>
      <xdr:colOff>266700</xdr:colOff>
      <xdr:row>22</xdr:row>
      <xdr:rowOff>99060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604010" y="3747135"/>
          <a:ext cx="13868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60960</xdr:colOff>
      <xdr:row>34</xdr:row>
      <xdr:rowOff>137160</xdr:rowOff>
    </xdr:from>
    <xdr:to>
      <xdr:col>1</xdr:col>
      <xdr:colOff>464820</xdr:colOff>
      <xdr:row>39</xdr:row>
      <xdr:rowOff>30480</xdr:rowOff>
    </xdr:to>
    <xdr:pic>
      <xdr:nvPicPr>
        <xdr:cNvPr id="11" name="Picture 10" descr="Commercial_Vehicle_Braking_Spring">
          <a:hlinkClick xmlns:r="http://schemas.openxmlformats.org/officeDocument/2006/relationships" r:id="rId1" tgtFrame="_top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94" r="65594" b="28113"/>
        <a:stretch>
          <a:fillRect/>
        </a:stretch>
      </xdr:blipFill>
      <xdr:spPr bwMode="auto">
        <a:xfrm>
          <a:off x="956310" y="5728335"/>
          <a:ext cx="403860" cy="702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5" Type="http://schemas.openxmlformats.org/officeDocument/2006/relationships/ctrlProp" Target="../ctrlProps/ctrlProp2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Relationship Id="rId14" Type="http://schemas.openxmlformats.org/officeDocument/2006/relationships/ctrlProp" Target="../ctrlProps/ctrlProp2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.xml"/><Relationship Id="rId13" Type="http://schemas.openxmlformats.org/officeDocument/2006/relationships/ctrlProp" Target="../ctrlProps/ctrlProp3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7.xml"/><Relationship Id="rId12" Type="http://schemas.openxmlformats.org/officeDocument/2006/relationships/ctrlProp" Target="../ctrlProps/ctrlProp3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6.xml"/><Relationship Id="rId11" Type="http://schemas.openxmlformats.org/officeDocument/2006/relationships/ctrlProp" Target="../ctrlProps/ctrlProp31.xml"/><Relationship Id="rId5" Type="http://schemas.openxmlformats.org/officeDocument/2006/relationships/ctrlProp" Target="../ctrlProps/ctrlProp25.xml"/><Relationship Id="rId10" Type="http://schemas.openxmlformats.org/officeDocument/2006/relationships/ctrlProp" Target="../ctrlProps/ctrlProp30.xml"/><Relationship Id="rId4" Type="http://schemas.openxmlformats.org/officeDocument/2006/relationships/ctrlProp" Target="../ctrlProps/ctrlProp24.xml"/><Relationship Id="rId9" Type="http://schemas.openxmlformats.org/officeDocument/2006/relationships/ctrlProp" Target="../ctrlProps/ctrlProp2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H316"/>
  <sheetViews>
    <sheetView tabSelected="1" zoomScale="110" zoomScaleNormal="110" workbookViewId="0">
      <selection activeCell="B3" sqref="B3:D3"/>
    </sheetView>
  </sheetViews>
  <sheetFormatPr defaultColWidth="9.140625" defaultRowHeight="14.25" zeroHeight="1" x14ac:dyDescent="0.2"/>
  <cols>
    <col min="1" max="1" width="9.42578125" style="16" customWidth="1"/>
    <col min="2" max="2" width="9.140625" style="16" customWidth="1"/>
    <col min="3" max="3" width="10.5703125" style="16" bestFit="1" customWidth="1"/>
    <col min="4" max="4" width="10" style="16" customWidth="1"/>
    <col min="5" max="9" width="9.140625" style="16" customWidth="1"/>
    <col min="10" max="10" width="9" style="16" customWidth="1"/>
    <col min="11" max="19" width="9.140625" style="16" hidden="1" customWidth="1"/>
    <col min="20" max="20" width="11.28515625" style="16" hidden="1" customWidth="1"/>
    <col min="21" max="21" width="9.140625" style="16" hidden="1" customWidth="1"/>
    <col min="22" max="22" width="10.5703125" style="16" hidden="1" customWidth="1"/>
    <col min="23" max="23" width="11.5703125" style="16" hidden="1" customWidth="1"/>
    <col min="24" max="27" width="9.140625" style="16" hidden="1" customWidth="1"/>
    <col min="28" max="28" width="11.7109375" style="16" hidden="1" customWidth="1"/>
    <col min="29" max="41" width="9.140625" style="16" hidden="1" customWidth="1"/>
    <col min="42" max="42" width="11.5703125" style="16" hidden="1" customWidth="1"/>
    <col min="43" max="48" width="9.140625" style="16" hidden="1" customWidth="1"/>
    <col min="49" max="49" width="10.85546875" style="16" hidden="1" customWidth="1"/>
    <col min="50" max="50" width="9.140625" style="16" hidden="1" customWidth="1"/>
    <col min="51" max="51" width="10.5703125" style="16" hidden="1" customWidth="1"/>
    <col min="52" max="52" width="10.42578125" style="16" hidden="1" customWidth="1"/>
    <col min="53" max="53" width="15.85546875" style="16" hidden="1" customWidth="1"/>
    <col min="54" max="77" width="9.140625" style="16" hidden="1" customWidth="1"/>
    <col min="78" max="96" width="9.140625" style="16" customWidth="1"/>
    <col min="97" max="16384" width="9.140625" style="16"/>
  </cols>
  <sheetData>
    <row r="1" spans="1:82" ht="39.75" customHeight="1" x14ac:dyDescent="0.3">
      <c r="A1" s="1" t="s">
        <v>256</v>
      </c>
      <c r="B1" s="2"/>
      <c r="C1" s="2"/>
      <c r="D1" s="3" t="s">
        <v>0</v>
      </c>
      <c r="E1" s="2"/>
      <c r="F1" s="2"/>
      <c r="G1" s="2"/>
      <c r="H1" s="2"/>
      <c r="I1" s="4" t="s">
        <v>442</v>
      </c>
      <c r="J1" s="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271"/>
      <c r="AZ1" s="115"/>
      <c r="BA1" s="115"/>
      <c r="BB1" s="115"/>
      <c r="BC1" s="115"/>
      <c r="BD1" s="115"/>
      <c r="BE1" s="115"/>
      <c r="BF1" s="115"/>
      <c r="BG1" s="115"/>
      <c r="BH1" s="115"/>
      <c r="BI1" s="272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68"/>
      <c r="CA1" s="68"/>
      <c r="CB1" s="68"/>
      <c r="CC1" s="68"/>
      <c r="CD1" s="68"/>
    </row>
    <row r="2" spans="1:82" ht="40.5" customHeight="1" x14ac:dyDescent="0.25">
      <c r="A2" s="195" t="s">
        <v>388</v>
      </c>
      <c r="B2" s="2"/>
      <c r="C2" s="2"/>
      <c r="D2" s="17"/>
      <c r="E2" s="6"/>
      <c r="F2" s="7"/>
      <c r="G2" s="7"/>
      <c r="H2" s="7"/>
      <c r="I2" s="2"/>
      <c r="J2" s="5"/>
      <c r="K2" s="115"/>
      <c r="X2" s="196" t="s">
        <v>53</v>
      </c>
      <c r="Y2" s="196"/>
      <c r="Z2" s="196" t="s">
        <v>282</v>
      </c>
      <c r="AA2" s="196" t="s">
        <v>274</v>
      </c>
      <c r="AB2" s="257" t="s">
        <v>62</v>
      </c>
      <c r="AC2" s="257" t="s">
        <v>54</v>
      </c>
      <c r="AD2" s="257" t="s">
        <v>55</v>
      </c>
      <c r="AE2" s="257" t="s">
        <v>56</v>
      </c>
      <c r="AF2" s="257" t="s">
        <v>57</v>
      </c>
      <c r="AG2" s="257" t="s">
        <v>58</v>
      </c>
      <c r="AH2" s="257" t="s">
        <v>59</v>
      </c>
      <c r="AI2" s="257" t="s">
        <v>60</v>
      </c>
      <c r="AJ2" s="257" t="s">
        <v>32</v>
      </c>
      <c r="AK2" s="196" t="s">
        <v>61</v>
      </c>
      <c r="AL2" s="196"/>
      <c r="AM2" s="202" t="s">
        <v>270</v>
      </c>
      <c r="AN2" s="196" t="s">
        <v>80</v>
      </c>
      <c r="AO2" s="196"/>
      <c r="AP2" s="196" t="s">
        <v>416</v>
      </c>
      <c r="AQ2" s="220" t="s">
        <v>284</v>
      </c>
      <c r="AR2" s="219" t="s">
        <v>283</v>
      </c>
      <c r="AS2" s="176"/>
      <c r="AT2" s="176" t="s">
        <v>63</v>
      </c>
      <c r="AU2" s="196" t="s">
        <v>291</v>
      </c>
      <c r="AV2" s="196" t="s">
        <v>292</v>
      </c>
      <c r="AW2" s="196" t="s">
        <v>425</v>
      </c>
      <c r="AX2" s="196" t="s">
        <v>417</v>
      </c>
      <c r="AY2" s="196" t="s">
        <v>418</v>
      </c>
      <c r="AZ2" s="196" t="s">
        <v>419</v>
      </c>
      <c r="BA2" s="196" t="s">
        <v>432</v>
      </c>
      <c r="BB2" s="196" t="s">
        <v>433</v>
      </c>
      <c r="BC2" s="196" t="s">
        <v>434</v>
      </c>
      <c r="BD2" s="196" t="s">
        <v>435</v>
      </c>
      <c r="BE2" s="196" t="s">
        <v>436</v>
      </c>
      <c r="BF2" s="196" t="s">
        <v>437</v>
      </c>
      <c r="BG2" s="196" t="s">
        <v>438</v>
      </c>
      <c r="BH2" s="196"/>
      <c r="BL2" s="16" t="s">
        <v>221</v>
      </c>
    </row>
    <row r="3" spans="1:82" ht="15" x14ac:dyDescent="0.25">
      <c r="A3" s="174" t="s">
        <v>1</v>
      </c>
      <c r="B3" s="470"/>
      <c r="C3" s="470"/>
      <c r="D3" s="470"/>
      <c r="E3" s="47"/>
      <c r="F3" s="47"/>
      <c r="G3" s="47"/>
      <c r="H3" s="8"/>
      <c r="I3" s="18"/>
      <c r="J3" s="9"/>
      <c r="K3" s="115"/>
      <c r="Y3" s="68"/>
      <c r="Z3" s="68"/>
      <c r="AA3" s="68"/>
      <c r="AL3" s="257"/>
      <c r="AM3" s="257"/>
      <c r="AN3" s="257" t="s">
        <v>81</v>
      </c>
      <c r="AO3" s="257" t="s">
        <v>82</v>
      </c>
      <c r="AP3" s="257" t="s">
        <v>273</v>
      </c>
      <c r="AQ3" s="257" t="s">
        <v>64</v>
      </c>
      <c r="AR3" s="257" t="s">
        <v>65</v>
      </c>
      <c r="AT3" s="51" t="s">
        <v>285</v>
      </c>
      <c r="AU3" s="16" t="s">
        <v>405</v>
      </c>
      <c r="AW3" s="257"/>
      <c r="AX3" s="257"/>
      <c r="AY3" s="257"/>
      <c r="AZ3" s="257"/>
      <c r="BA3" s="257" t="s">
        <v>27</v>
      </c>
      <c r="BB3" s="285" t="s">
        <v>27</v>
      </c>
      <c r="BC3" s="285" t="s">
        <v>27</v>
      </c>
      <c r="BE3" s="257"/>
      <c r="BF3" s="257"/>
      <c r="BG3" s="257" t="s">
        <v>127</v>
      </c>
      <c r="BH3" s="257" t="s">
        <v>439</v>
      </c>
      <c r="BL3" s="50"/>
    </row>
    <row r="4" spans="1:82" ht="15" x14ac:dyDescent="0.25">
      <c r="A4" s="174" t="s">
        <v>2</v>
      </c>
      <c r="B4" s="471"/>
      <c r="C4" s="471"/>
      <c r="D4" s="471"/>
      <c r="E4" s="47"/>
      <c r="F4" s="47"/>
      <c r="G4" s="47"/>
      <c r="H4" s="8"/>
      <c r="I4" s="10"/>
      <c r="J4" s="9"/>
      <c r="K4" s="115"/>
      <c r="M4" s="111">
        <v>2</v>
      </c>
      <c r="N4" s="16" t="str">
        <f>VLOOKUP(M4,M5:N6,2)</f>
        <v>WM80Z</v>
      </c>
      <c r="O4" s="16" t="str">
        <f>VLOOKUP(M4,M5:O6,3)</f>
        <v>WM08Z170</v>
      </c>
      <c r="Q4" s="111">
        <f>IF(P16=0,8,IF(AND(M4=1,Q16),1,IF(AND(M4=1,Q16=5),2,M4+Q16)))</f>
        <v>4</v>
      </c>
      <c r="R4" s="16" t="str">
        <f>VLOOKUP($Q$4,$Q$5:R12,R13)</f>
        <v>WM80Z- S</v>
      </c>
      <c r="S4" s="16" t="str">
        <f>VLOOKUP($Q$4,$Q$5:S12,S13)</f>
        <v>S = Single short carriage</v>
      </c>
      <c r="U4" s="16">
        <f>VLOOKUP($Q$4,$Q$5:U12,U13)</f>
        <v>0</v>
      </c>
      <c r="V4" s="16" t="str">
        <f>VLOOKUP($Q$4,$Q$5:V12,V13)</f>
        <v>S</v>
      </c>
      <c r="X4" s="16">
        <f>VLOOKUP($Q$4,$Q$5:X12,X13)</f>
        <v>5500</v>
      </c>
      <c r="Y4" s="16">
        <f>VLOOKUP($Q$4,$Q$5:Y12,Y13)</f>
        <v>0</v>
      </c>
      <c r="Z4" s="16">
        <f>VLOOKUP($Q$4,$Q$5:Z12,Z13)</f>
        <v>490</v>
      </c>
      <c r="AA4" s="16">
        <f>VLOOKUP($Q$4,$Q$5:AA12,AA13)</f>
        <v>0</v>
      </c>
      <c r="AB4" s="16">
        <f>VLOOKUP($Q$4,$Q$5:AB12,AB13)</f>
        <v>1230</v>
      </c>
      <c r="AC4" s="16">
        <f>VLOOKUP($Q$4,$Q$5:AC12,AC13)</f>
        <v>2100</v>
      </c>
      <c r="AD4" s="16">
        <f>VLOOKUP($Q$4,$Q$5:AD12,AD13)</f>
        <v>2100</v>
      </c>
      <c r="AE4" s="16">
        <f>VLOOKUP($Q$4,$Q$5:AE12,AE13)</f>
        <v>68</v>
      </c>
      <c r="AF4" s="16">
        <f>VLOOKUP($Q$4,$Q$5:AF12,AF13)</f>
        <v>135</v>
      </c>
      <c r="AG4" s="16">
        <f>VLOOKUP($Q$4,$Q$5:AG12,AG13)</f>
        <v>135</v>
      </c>
      <c r="AH4" s="16">
        <f>VLOOKUP($Q$4,$Q$5:AH12,AH13)</f>
        <v>600</v>
      </c>
      <c r="AI4" s="16">
        <f>VLOOKUP($Q$4,$Q$5:AI12,AI13)</f>
        <v>40</v>
      </c>
      <c r="AJ4" s="16">
        <f>VLOOKUP($Q$4,$Q$5:AJ12,AJ13)</f>
        <v>5</v>
      </c>
      <c r="AK4" s="16">
        <f>VLOOKUP($Q$4,$Q$5:AK12,AK13)</f>
        <v>20</v>
      </c>
      <c r="AL4" s="16">
        <f>VLOOKUP($Q$4,$Q$5:AL12,AL13)</f>
        <v>0</v>
      </c>
      <c r="AM4" s="16">
        <f>VLOOKUP($Q$4,$Q$5:AM12,AM13)</f>
        <v>2.1</v>
      </c>
      <c r="AN4" s="16">
        <f>VLOOKUP($Q$4,$Q$5:AN12,AN13)</f>
        <v>9.1999999999999993</v>
      </c>
      <c r="AO4" s="16">
        <f>VLOOKUP($Q$4,$Q$5:AO12,AO13)</f>
        <v>0.8</v>
      </c>
      <c r="AP4" s="284">
        <f>VLOOKUP($Q$4,$Q$5:AP12,AP13)</f>
        <v>22.5</v>
      </c>
      <c r="AQ4" s="284">
        <f>VLOOKUP($Q$4,$Q$5:AQ12,AQ13)</f>
        <v>0</v>
      </c>
      <c r="AR4" s="284">
        <f>VLOOKUP($Q$4,$Q$5:AR12,AR13)</f>
        <v>48.75</v>
      </c>
      <c r="AS4" s="284">
        <f>VLOOKUP($Q$4,$Q$5:AS12,AS13)</f>
        <v>0</v>
      </c>
      <c r="AT4" s="284">
        <f>VLOOKUP($Q$4,$Q$5:AT12,AT13)</f>
        <v>400</v>
      </c>
      <c r="AU4" s="284">
        <f>VLOOKUP($Q$4,$Q$5:AU12,AU13)</f>
        <v>35838</v>
      </c>
      <c r="AV4" s="284">
        <f>VLOOKUP($Q$4,$Q$5:AV12,AV13)</f>
        <v>37446</v>
      </c>
      <c r="AW4" s="284">
        <f>VLOOKUP($Q$4,$Q$5:AW12,AW13)</f>
        <v>54.112680651244418</v>
      </c>
      <c r="AX4" s="284">
        <f>VLOOKUP($Q$4,$Q$5:AX12,AX13)</f>
        <v>1470</v>
      </c>
      <c r="AY4" s="284">
        <f>VLOOKUP($Q$4,$Q$5:AY12,AY13)</f>
        <v>13800</v>
      </c>
      <c r="AZ4" s="284">
        <f>VLOOKUP($Q$4,$Q$5:AZ12,AZ13)</f>
        <v>8060</v>
      </c>
      <c r="BA4" s="284">
        <f>VLOOKUP($Q$4,$Q$5:BA12,BA13)</f>
        <v>4</v>
      </c>
      <c r="BB4" s="284">
        <f>VLOOKUP($Q$4,$Q$5:BB12,BB13)</f>
        <v>5.4</v>
      </c>
      <c r="BC4" s="284">
        <f>VLOOKUP($Q$4,$Q$5:BC12,BC13)</f>
        <v>6.2</v>
      </c>
      <c r="BD4" s="284">
        <f>VLOOKUP($Q$4,$Q$5:BD12,BD13)</f>
        <v>0.14000000000000001</v>
      </c>
      <c r="BE4" s="284">
        <f>VLOOKUP($Q$4,$Q$5:BE12,BE13)</f>
        <v>75</v>
      </c>
      <c r="BF4" s="284">
        <f>VLOOKUP($Q$4,$Q$5:BF12,BF13)</f>
        <v>30</v>
      </c>
      <c r="BG4" s="284">
        <f>VLOOKUP($Q$4,$Q$5:BG12,BG13)</f>
        <v>2.3999999999999998E-3</v>
      </c>
      <c r="BH4" s="284">
        <f>VLOOKUP($Q$4,$Q$5:BH12,BH13)</f>
        <v>3.0000000000000001E-3</v>
      </c>
      <c r="BI4" s="16">
        <f>VLOOKUP($Q$4,$Q$5:BI12,BI13)</f>
        <v>0</v>
      </c>
    </row>
    <row r="5" spans="1:82" ht="15" x14ac:dyDescent="0.25">
      <c r="A5" s="174" t="s">
        <v>3</v>
      </c>
      <c r="B5" s="472"/>
      <c r="C5" s="472"/>
      <c r="D5" s="472"/>
      <c r="E5" s="48" t="s">
        <v>4</v>
      </c>
      <c r="F5" s="470" t="s">
        <v>5</v>
      </c>
      <c r="G5" s="470"/>
      <c r="H5" s="8"/>
      <c r="I5" s="21"/>
      <c r="J5" s="11"/>
      <c r="K5" s="115"/>
      <c r="M5" s="257">
        <v>1</v>
      </c>
      <c r="N5" s="16" t="s">
        <v>389</v>
      </c>
      <c r="O5" s="16" t="s">
        <v>440</v>
      </c>
      <c r="Q5" s="257">
        <v>1</v>
      </c>
      <c r="R5" s="16" t="s">
        <v>395</v>
      </c>
      <c r="S5" s="16" t="s">
        <v>393</v>
      </c>
      <c r="V5" s="16" t="s">
        <v>408</v>
      </c>
      <c r="X5" s="20">
        <v>4000</v>
      </c>
      <c r="Y5" s="68"/>
      <c r="Z5" s="68">
        <v>420</v>
      </c>
      <c r="AA5" s="68">
        <v>0</v>
      </c>
      <c r="AB5" s="16">
        <f>IF(C52&lt;2.5,850-C52/2.5*300,550)</f>
        <v>670</v>
      </c>
      <c r="AC5" s="16">
        <v>1400</v>
      </c>
      <c r="AD5" s="16">
        <f>AC5</f>
        <v>1400</v>
      </c>
      <c r="AE5" s="16">
        <v>25</v>
      </c>
      <c r="AF5" s="16">
        <v>50</v>
      </c>
      <c r="AG5" s="16">
        <f>AF5</f>
        <v>50</v>
      </c>
      <c r="AH5" s="16">
        <v>150</v>
      </c>
      <c r="AI5" s="16">
        <v>17</v>
      </c>
      <c r="AJ5" s="16">
        <v>2.5</v>
      </c>
      <c r="AK5" s="16">
        <v>20</v>
      </c>
      <c r="AM5" s="16">
        <v>1.25</v>
      </c>
      <c r="AN5" s="16">
        <v>4.3</v>
      </c>
      <c r="AO5" s="16">
        <v>0.45</v>
      </c>
      <c r="AP5" s="16">
        <v>18</v>
      </c>
      <c r="AQ5" s="16">
        <v>0</v>
      </c>
      <c r="AR5" s="16">
        <v>35</v>
      </c>
      <c r="AT5" s="68">
        <v>300</v>
      </c>
      <c r="AU5" s="16">
        <f>2*11934</f>
        <v>23868</v>
      </c>
      <c r="AV5" s="16">
        <f>2*12964</f>
        <v>25928</v>
      </c>
      <c r="AW5" s="16">
        <f>120/PI()</f>
        <v>38.197186342054884</v>
      </c>
      <c r="AX5" s="68">
        <v>850</v>
      </c>
      <c r="AY5" s="241">
        <v>7280</v>
      </c>
      <c r="AZ5" s="16">
        <v>4230</v>
      </c>
      <c r="BA5" s="16">
        <v>1.6</v>
      </c>
      <c r="BB5" s="16">
        <v>2.5</v>
      </c>
      <c r="BC5" s="16">
        <v>3</v>
      </c>
      <c r="BD5" s="16">
        <v>7.3999999999999996E-2</v>
      </c>
      <c r="BE5" s="257">
        <v>55</v>
      </c>
      <c r="BF5" s="257">
        <v>25</v>
      </c>
      <c r="BG5" s="257">
        <v>2.4000000000000001E-4</v>
      </c>
      <c r="BH5" s="257">
        <v>8.0000000000000004E-4</v>
      </c>
      <c r="BI5" s="257"/>
    </row>
    <row r="6" spans="1:82" x14ac:dyDescent="0.2">
      <c r="A6" s="12"/>
      <c r="B6" s="5"/>
      <c r="C6" s="5"/>
      <c r="D6" s="5"/>
      <c r="E6" s="5"/>
      <c r="F6" s="9"/>
      <c r="G6" s="9"/>
      <c r="H6" s="9"/>
      <c r="I6" s="18"/>
      <c r="J6" s="9"/>
      <c r="K6" s="115"/>
      <c r="M6" s="257">
        <v>2</v>
      </c>
      <c r="N6" s="16" t="s">
        <v>390</v>
      </c>
      <c r="O6" s="16" t="s">
        <v>441</v>
      </c>
      <c r="Q6" s="257">
        <v>2</v>
      </c>
      <c r="R6" s="16" t="s">
        <v>396</v>
      </c>
      <c r="S6" s="16" t="s">
        <v>394</v>
      </c>
      <c r="V6" s="16" t="s">
        <v>409</v>
      </c>
      <c r="X6" s="20">
        <v>4000</v>
      </c>
      <c r="Y6" s="68"/>
      <c r="Z6" s="68">
        <f>G18+Z5</f>
        <v>920</v>
      </c>
      <c r="AA6" s="68">
        <v>255</v>
      </c>
      <c r="AB6" s="16">
        <f>$AB$5</f>
        <v>670</v>
      </c>
      <c r="AC6" s="16">
        <v>2800</v>
      </c>
      <c r="AD6" s="16">
        <f t="shared" ref="AD6:AD11" si="0">AC6</f>
        <v>2800</v>
      </c>
      <c r="AE6" s="16">
        <v>50</v>
      </c>
      <c r="AF6" s="16">
        <f>1.4*G18</f>
        <v>700</v>
      </c>
      <c r="AG6" s="16">
        <f t="shared" ref="AG6:AG11" si="1">AF6</f>
        <v>700</v>
      </c>
      <c r="AH6" s="16">
        <v>150</v>
      </c>
      <c r="AI6" s="16">
        <v>17</v>
      </c>
      <c r="AJ6" s="16">
        <v>2.5</v>
      </c>
      <c r="AK6" s="16">
        <v>20</v>
      </c>
      <c r="AM6" s="16">
        <v>2.5</v>
      </c>
      <c r="AN6" s="16">
        <v>4.3</v>
      </c>
      <c r="AO6" s="16">
        <v>0.45</v>
      </c>
      <c r="AP6" s="16">
        <v>36</v>
      </c>
      <c r="AQ6" s="16">
        <f>G18</f>
        <v>500</v>
      </c>
      <c r="AR6" s="16">
        <v>35</v>
      </c>
      <c r="AT6" s="68">
        <v>300</v>
      </c>
      <c r="AU6" s="16">
        <f>2*11934</f>
        <v>23868</v>
      </c>
      <c r="AV6" s="16">
        <f>2*12964</f>
        <v>25928</v>
      </c>
      <c r="AW6" s="16">
        <f>120/PI()</f>
        <v>38.197186342054884</v>
      </c>
      <c r="AX6" s="68">
        <v>850</v>
      </c>
      <c r="AY6" s="241">
        <v>7280</v>
      </c>
      <c r="AZ6" s="16">
        <v>4230</v>
      </c>
      <c r="BA6" s="16">
        <f>0.3+BA5</f>
        <v>1.9000000000000001</v>
      </c>
      <c r="BB6" s="16">
        <f>0.4+BB5</f>
        <v>2.9</v>
      </c>
      <c r="BC6" s="16">
        <f>0.5+BC5</f>
        <v>3.5</v>
      </c>
      <c r="BD6" s="16">
        <v>7.3999999999999996E-2</v>
      </c>
      <c r="BE6" s="257">
        <v>55</v>
      </c>
      <c r="BF6" s="257">
        <v>25</v>
      </c>
      <c r="BG6" s="257">
        <v>2.4000000000000001E-4</v>
      </c>
      <c r="BH6" s="257">
        <v>8.0000000000000004E-4</v>
      </c>
      <c r="BI6" s="257"/>
    </row>
    <row r="7" spans="1:82" ht="15.75" x14ac:dyDescent="0.25">
      <c r="A7" s="13" t="s">
        <v>6</v>
      </c>
      <c r="B7" s="5"/>
      <c r="C7" s="14"/>
      <c r="D7" s="5"/>
      <c r="E7" s="5"/>
      <c r="F7" s="9"/>
      <c r="G7" s="9"/>
      <c r="H7" s="9"/>
      <c r="I7" s="18"/>
      <c r="J7" s="9"/>
      <c r="K7" s="115"/>
      <c r="Q7" s="257">
        <v>3</v>
      </c>
      <c r="R7" s="16" t="s">
        <v>397</v>
      </c>
      <c r="S7" s="16" t="s">
        <v>402</v>
      </c>
      <c r="V7" s="16" t="s">
        <v>21</v>
      </c>
      <c r="X7" s="20">
        <v>5400</v>
      </c>
      <c r="Y7" s="68"/>
      <c r="Z7" s="68">
        <v>590</v>
      </c>
      <c r="AA7" s="68">
        <v>0</v>
      </c>
      <c r="AB7" s="16">
        <f>IF(C52&lt;2.5,1470-C52/2.5*400,1070)</f>
        <v>1230</v>
      </c>
      <c r="AC7" s="16">
        <v>3000</v>
      </c>
      <c r="AD7" s="16">
        <f t="shared" si="0"/>
        <v>3000</v>
      </c>
      <c r="AE7" s="16">
        <v>150</v>
      </c>
      <c r="AF7" s="16">
        <v>300</v>
      </c>
      <c r="AG7" s="16">
        <f t="shared" si="1"/>
        <v>300</v>
      </c>
      <c r="AH7" s="16">
        <v>600</v>
      </c>
      <c r="AI7" s="16">
        <v>40</v>
      </c>
      <c r="AJ7" s="16">
        <v>5</v>
      </c>
      <c r="AK7" s="16">
        <v>20</v>
      </c>
      <c r="AM7" s="16">
        <v>3.4</v>
      </c>
      <c r="AN7" s="16">
        <v>11.2</v>
      </c>
      <c r="AO7" s="16">
        <v>0.8</v>
      </c>
      <c r="AP7" s="16">
        <v>25</v>
      </c>
      <c r="AQ7" s="16">
        <v>154</v>
      </c>
      <c r="AR7" s="16">
        <v>48.75</v>
      </c>
      <c r="AT7" s="68">
        <v>600</v>
      </c>
      <c r="AU7" s="16">
        <f>4*13739</f>
        <v>54956</v>
      </c>
      <c r="AV7" s="16">
        <f>4*14356</f>
        <v>57424</v>
      </c>
      <c r="AW7" s="16">
        <f>170/PI()</f>
        <v>54.112680651244418</v>
      </c>
      <c r="AX7" s="68">
        <v>1470</v>
      </c>
      <c r="AY7" s="241">
        <v>13800</v>
      </c>
      <c r="AZ7" s="16">
        <v>8060</v>
      </c>
      <c r="BA7" s="16">
        <v>6.5</v>
      </c>
      <c r="BB7" s="16">
        <v>7.7</v>
      </c>
      <c r="BC7" s="16">
        <v>9.3000000000000007</v>
      </c>
      <c r="BD7" s="16">
        <v>0.14000000000000001</v>
      </c>
      <c r="BE7" s="257">
        <v>75</v>
      </c>
      <c r="BF7" s="257">
        <v>30</v>
      </c>
      <c r="BG7" s="257">
        <v>2.3999999999999998E-3</v>
      </c>
      <c r="BH7" s="257">
        <v>3.0000000000000001E-3</v>
      </c>
      <c r="BI7" s="257"/>
    </row>
    <row r="8" spans="1:82" x14ac:dyDescent="0.2">
      <c r="A8" s="25"/>
      <c r="B8" s="26" t="s">
        <v>7</v>
      </c>
      <c r="C8" s="27"/>
      <c r="D8" s="28"/>
      <c r="E8" s="5"/>
      <c r="F8" s="9"/>
      <c r="G8" s="9"/>
      <c r="H8" s="9"/>
      <c r="I8" s="18"/>
      <c r="J8" s="9"/>
      <c r="K8" s="115"/>
      <c r="Q8" s="257">
        <v>4</v>
      </c>
      <c r="R8" s="16" t="s">
        <v>398</v>
      </c>
      <c r="S8" s="16" t="s">
        <v>393</v>
      </c>
      <c r="U8" s="20"/>
      <c r="V8" s="16" t="s">
        <v>408</v>
      </c>
      <c r="X8" s="20">
        <v>5500</v>
      </c>
      <c r="Y8" s="68"/>
      <c r="Z8" s="68">
        <v>490</v>
      </c>
      <c r="AA8" s="68">
        <v>0</v>
      </c>
      <c r="AB8" s="16">
        <f>$AB$7</f>
        <v>1230</v>
      </c>
      <c r="AC8" s="16">
        <v>2100</v>
      </c>
      <c r="AD8" s="16">
        <f t="shared" si="0"/>
        <v>2100</v>
      </c>
      <c r="AE8" s="16">
        <v>68</v>
      </c>
      <c r="AF8" s="16">
        <v>135</v>
      </c>
      <c r="AG8" s="16">
        <f t="shared" si="1"/>
        <v>135</v>
      </c>
      <c r="AH8" s="16">
        <v>600</v>
      </c>
      <c r="AI8" s="16">
        <v>40</v>
      </c>
      <c r="AJ8" s="16">
        <v>5</v>
      </c>
      <c r="AK8" s="16">
        <v>20</v>
      </c>
      <c r="AM8" s="16">
        <v>2.1</v>
      </c>
      <c r="AN8" s="16">
        <v>9.1999999999999993</v>
      </c>
      <c r="AO8" s="16">
        <v>0.8</v>
      </c>
      <c r="AP8" s="16">
        <v>22.5</v>
      </c>
      <c r="AQ8" s="68">
        <v>0</v>
      </c>
      <c r="AR8" s="16">
        <v>48.75</v>
      </c>
      <c r="AT8" s="16">
        <v>400</v>
      </c>
      <c r="AU8" s="68">
        <f>2*17919</f>
        <v>35838</v>
      </c>
      <c r="AV8" s="241">
        <f>2*18723</f>
        <v>37446</v>
      </c>
      <c r="AW8" s="16">
        <f t="shared" ref="AW8:AW11" si="2">170/PI()</f>
        <v>54.112680651244418</v>
      </c>
      <c r="AX8" s="68">
        <v>1470</v>
      </c>
      <c r="AY8" s="241">
        <v>13800</v>
      </c>
      <c r="AZ8" s="16">
        <v>8060</v>
      </c>
      <c r="BA8" s="16">
        <v>4</v>
      </c>
      <c r="BB8" s="51">
        <v>5.4</v>
      </c>
      <c r="BC8" s="51">
        <v>6.2</v>
      </c>
      <c r="BD8" s="16">
        <v>0.14000000000000001</v>
      </c>
      <c r="BE8" s="285">
        <v>75</v>
      </c>
      <c r="BF8" s="285">
        <v>30</v>
      </c>
      <c r="BG8" s="285">
        <v>2.3999999999999998E-3</v>
      </c>
      <c r="BH8" s="285">
        <v>3.0000000000000001E-3</v>
      </c>
    </row>
    <row r="9" spans="1:82" x14ac:dyDescent="0.2">
      <c r="A9" s="17"/>
      <c r="B9" s="17"/>
      <c r="C9" s="17"/>
      <c r="D9" s="17"/>
      <c r="E9" s="5"/>
      <c r="F9" s="9"/>
      <c r="G9" s="9"/>
      <c r="H9" s="9"/>
      <c r="I9" s="18"/>
      <c r="J9" s="9"/>
      <c r="K9" s="115"/>
      <c r="Q9" s="257">
        <v>5</v>
      </c>
      <c r="R9" s="16" t="s">
        <v>399</v>
      </c>
      <c r="S9" s="16" t="s">
        <v>403</v>
      </c>
      <c r="U9" s="20"/>
      <c r="V9" s="16" t="s">
        <v>410</v>
      </c>
      <c r="X9" s="20">
        <v>5400</v>
      </c>
      <c r="Y9" s="68"/>
      <c r="Z9" s="68">
        <v>760</v>
      </c>
      <c r="AA9" s="68">
        <v>0</v>
      </c>
      <c r="AB9" s="16">
        <f t="shared" ref="AB9:AB11" si="3">$AB$7</f>
        <v>1230</v>
      </c>
      <c r="AC9" s="16">
        <v>3000</v>
      </c>
      <c r="AD9" s="16">
        <f t="shared" si="0"/>
        <v>3000</v>
      </c>
      <c r="AE9" s="16">
        <v>150</v>
      </c>
      <c r="AF9" s="16">
        <v>750</v>
      </c>
      <c r="AG9" s="16">
        <f t="shared" si="1"/>
        <v>750</v>
      </c>
      <c r="AH9" s="16">
        <v>600</v>
      </c>
      <c r="AI9" s="16">
        <v>40</v>
      </c>
      <c r="AJ9" s="16">
        <v>5</v>
      </c>
      <c r="AK9" s="16">
        <v>20</v>
      </c>
      <c r="AM9" s="16">
        <v>5.0999999999999996</v>
      </c>
      <c r="AN9" s="16">
        <v>11.2</v>
      </c>
      <c r="AO9" s="16">
        <v>0.8</v>
      </c>
      <c r="AP9" s="16">
        <v>25</v>
      </c>
      <c r="AQ9" s="68">
        <f>170+154</f>
        <v>324</v>
      </c>
      <c r="AR9" s="16">
        <v>48.75</v>
      </c>
      <c r="AT9" s="16">
        <v>600</v>
      </c>
      <c r="AU9" s="16">
        <f>4*13739</f>
        <v>54956</v>
      </c>
      <c r="AV9" s="16">
        <f>4*14356</f>
        <v>57424</v>
      </c>
      <c r="AW9" s="16">
        <f t="shared" si="2"/>
        <v>54.112680651244418</v>
      </c>
      <c r="AX9" s="68">
        <v>1470</v>
      </c>
      <c r="AY9" s="241">
        <v>13800</v>
      </c>
      <c r="AZ9" s="16">
        <v>8060</v>
      </c>
      <c r="BA9" s="16">
        <v>6.5</v>
      </c>
      <c r="BB9" s="51">
        <v>7.7</v>
      </c>
      <c r="BC9" s="51">
        <v>9.3000000000000007</v>
      </c>
      <c r="BD9" s="16">
        <v>0.14000000000000001</v>
      </c>
      <c r="BE9" s="285">
        <v>75</v>
      </c>
      <c r="BF9" s="285">
        <v>30</v>
      </c>
      <c r="BG9" s="285">
        <v>2.3999999999999998E-3</v>
      </c>
      <c r="BH9" s="285">
        <v>3.0000000000000001E-3</v>
      </c>
    </row>
    <row r="10" spans="1:82" ht="15" x14ac:dyDescent="0.25">
      <c r="A10" s="25"/>
      <c r="B10" s="26" t="s">
        <v>8</v>
      </c>
      <c r="C10" s="305" t="s">
        <v>267</v>
      </c>
      <c r="D10" s="46"/>
      <c r="E10" s="5"/>
      <c r="F10" s="5"/>
      <c r="G10" s="5"/>
      <c r="H10" s="5"/>
      <c r="I10" s="5"/>
      <c r="J10" s="5"/>
      <c r="K10" s="115"/>
      <c r="Q10" s="258">
        <v>6</v>
      </c>
      <c r="R10" s="16" t="s">
        <v>400</v>
      </c>
      <c r="S10" s="16" t="s">
        <v>404</v>
      </c>
      <c r="U10" s="20"/>
      <c r="V10" s="16" t="s">
        <v>411</v>
      </c>
      <c r="X10" s="20">
        <v>5400</v>
      </c>
      <c r="Y10" s="68"/>
      <c r="Z10" s="68">
        <f>G18+Z7</f>
        <v>1090</v>
      </c>
      <c r="AA10" s="68">
        <v>360</v>
      </c>
      <c r="AB10" s="16">
        <f t="shared" si="3"/>
        <v>1230</v>
      </c>
      <c r="AC10" s="16">
        <v>6000</v>
      </c>
      <c r="AD10" s="16">
        <f t="shared" si="0"/>
        <v>6000</v>
      </c>
      <c r="AE10" s="16">
        <v>300</v>
      </c>
      <c r="AF10" s="16">
        <f>3*G18</f>
        <v>1500</v>
      </c>
      <c r="AG10" s="16">
        <f t="shared" si="1"/>
        <v>1500</v>
      </c>
      <c r="AH10" s="16">
        <v>600</v>
      </c>
      <c r="AI10" s="16">
        <v>40</v>
      </c>
      <c r="AJ10" s="16">
        <v>5</v>
      </c>
      <c r="AK10" s="16">
        <v>20</v>
      </c>
      <c r="AM10" s="16">
        <v>6.8</v>
      </c>
      <c r="AN10" s="16">
        <v>11.2</v>
      </c>
      <c r="AO10" s="16">
        <v>0.8</v>
      </c>
      <c r="AP10" s="16">
        <v>50</v>
      </c>
      <c r="AQ10" s="68">
        <f>G18</f>
        <v>500</v>
      </c>
      <c r="AR10" s="16">
        <v>48.75</v>
      </c>
      <c r="AT10" s="16">
        <v>600</v>
      </c>
      <c r="AU10" s="16">
        <f>4*13739</f>
        <v>54956</v>
      </c>
      <c r="AV10" s="16">
        <f>4*14356</f>
        <v>57424</v>
      </c>
      <c r="AW10" s="16">
        <f t="shared" si="2"/>
        <v>54.112680651244418</v>
      </c>
      <c r="AX10" s="68">
        <v>1470</v>
      </c>
      <c r="AY10" s="241">
        <v>13800</v>
      </c>
      <c r="AZ10" s="16">
        <v>8060</v>
      </c>
      <c r="BA10" s="16">
        <f>BA7+0.6</f>
        <v>7.1</v>
      </c>
      <c r="BB10" s="16">
        <f>BB7+0.7</f>
        <v>8.4</v>
      </c>
      <c r="BC10" s="16">
        <f>BC7+0.8</f>
        <v>10.100000000000001</v>
      </c>
      <c r="BD10" s="16">
        <v>0.14000000000000001</v>
      </c>
      <c r="BE10" s="285">
        <v>75</v>
      </c>
      <c r="BF10" s="285">
        <v>30</v>
      </c>
      <c r="BG10" s="285">
        <v>2.3999999999999998E-3</v>
      </c>
      <c r="BH10" s="285">
        <v>3.0000000000000001E-3</v>
      </c>
    </row>
    <row r="11" spans="1:82" ht="15" x14ac:dyDescent="0.25">
      <c r="A11" s="25"/>
      <c r="B11" s="33" t="s">
        <v>98</v>
      </c>
      <c r="C11" s="305" t="s">
        <v>392</v>
      </c>
      <c r="D11" s="29"/>
      <c r="E11" s="17"/>
      <c r="F11" s="29"/>
      <c r="G11" s="30"/>
      <c r="H11" s="31"/>
      <c r="I11" s="29"/>
      <c r="J11" s="29"/>
      <c r="K11" s="115"/>
      <c r="Q11" s="258">
        <v>7</v>
      </c>
      <c r="R11" s="16" t="s">
        <v>401</v>
      </c>
      <c r="S11" s="16" t="s">
        <v>394</v>
      </c>
      <c r="U11" s="20"/>
      <c r="V11" s="16" t="s">
        <v>409</v>
      </c>
      <c r="X11" s="20">
        <v>5500</v>
      </c>
      <c r="Y11" s="68"/>
      <c r="Z11" s="68">
        <f>G18+Z8</f>
        <v>990</v>
      </c>
      <c r="AA11" s="68">
        <v>280</v>
      </c>
      <c r="AB11" s="16">
        <f t="shared" si="3"/>
        <v>1230</v>
      </c>
      <c r="AC11" s="16">
        <v>4200</v>
      </c>
      <c r="AD11" s="16">
        <f t="shared" si="0"/>
        <v>4200</v>
      </c>
      <c r="AE11" s="16">
        <v>136</v>
      </c>
      <c r="AF11" s="16">
        <f>2.1*G18</f>
        <v>1050</v>
      </c>
      <c r="AG11" s="16">
        <f t="shared" si="1"/>
        <v>1050</v>
      </c>
      <c r="AH11" s="16">
        <v>600</v>
      </c>
      <c r="AI11" s="16">
        <v>40</v>
      </c>
      <c r="AJ11" s="16">
        <v>5</v>
      </c>
      <c r="AK11" s="16">
        <v>20</v>
      </c>
      <c r="AM11" s="16">
        <v>4.2</v>
      </c>
      <c r="AN11" s="16">
        <v>9.1999999999999993</v>
      </c>
      <c r="AO11" s="16">
        <v>0.8</v>
      </c>
      <c r="AP11" s="16">
        <v>45</v>
      </c>
      <c r="AQ11" s="68">
        <f>G18</f>
        <v>500</v>
      </c>
      <c r="AR11" s="16">
        <v>48.75</v>
      </c>
      <c r="AT11" s="16">
        <v>400</v>
      </c>
      <c r="AU11" s="68">
        <f>2*17919</f>
        <v>35838</v>
      </c>
      <c r="AV11" s="241">
        <f>2*18723</f>
        <v>37446</v>
      </c>
      <c r="AW11" s="16">
        <f t="shared" si="2"/>
        <v>54.112680651244418</v>
      </c>
      <c r="AX11" s="68">
        <v>1470</v>
      </c>
      <c r="AY11" s="241">
        <v>13800</v>
      </c>
      <c r="AZ11" s="16">
        <v>8060</v>
      </c>
      <c r="BA11" s="16">
        <f>BA8+0.6</f>
        <v>4.5999999999999996</v>
      </c>
      <c r="BB11" s="16">
        <f>BB8+0.7</f>
        <v>6.1000000000000005</v>
      </c>
      <c r="BC11" s="16">
        <f>BC8+0.8</f>
        <v>7</v>
      </c>
      <c r="BD11" s="16">
        <v>0.14000000000000001</v>
      </c>
      <c r="BE11" s="285">
        <v>75</v>
      </c>
      <c r="BF11" s="285">
        <v>30</v>
      </c>
      <c r="BG11" s="285">
        <v>2.3999999999999998E-3</v>
      </c>
      <c r="BH11" s="285">
        <v>3.0000000000000001E-3</v>
      </c>
    </row>
    <row r="12" spans="1:82" ht="15" x14ac:dyDescent="0.25">
      <c r="A12" s="17"/>
      <c r="B12" s="23" t="s">
        <v>391</v>
      </c>
      <c r="C12" s="305" t="str">
        <f>IF(M4=1,"  20 ATL 5","  25 AT 10")</f>
        <v xml:space="preserve">  25 AT 10</v>
      </c>
      <c r="D12" s="17"/>
      <c r="E12" s="17"/>
      <c r="F12" s="29"/>
      <c r="G12" s="30"/>
      <c r="H12" s="32"/>
      <c r="I12" s="29"/>
      <c r="J12" s="29"/>
      <c r="K12" s="115"/>
      <c r="Q12" s="258">
        <v>8</v>
      </c>
      <c r="U12" s="20"/>
      <c r="X12" s="20"/>
      <c r="Y12" s="68"/>
      <c r="Z12" s="68"/>
      <c r="AA12" s="68"/>
      <c r="AB12" s="20"/>
      <c r="AQ12" s="68"/>
      <c r="AU12" s="68"/>
      <c r="AV12" s="124"/>
      <c r="AY12" s="51"/>
      <c r="BB12" s="51"/>
      <c r="BC12" s="258"/>
      <c r="BD12" s="258"/>
      <c r="BE12" s="258"/>
      <c r="BF12" s="258"/>
    </row>
    <row r="13" spans="1:82" ht="15" x14ac:dyDescent="0.25">
      <c r="A13" s="17"/>
      <c r="B13" s="17"/>
      <c r="C13" s="17"/>
      <c r="D13" s="17"/>
      <c r="E13" s="29"/>
      <c r="F13" s="29"/>
      <c r="G13" s="30"/>
      <c r="H13" s="17"/>
      <c r="I13" s="29"/>
      <c r="J13" s="29"/>
      <c r="K13" s="115"/>
      <c r="Q13" s="257">
        <v>1</v>
      </c>
      <c r="R13" s="257">
        <v>2</v>
      </c>
      <c r="S13" s="257">
        <v>3</v>
      </c>
      <c r="T13" s="257">
        <v>4</v>
      </c>
      <c r="U13" s="257">
        <v>5</v>
      </c>
      <c r="V13" s="257">
        <v>6</v>
      </c>
      <c r="W13" s="257">
        <v>7</v>
      </c>
      <c r="X13" s="257">
        <v>8</v>
      </c>
      <c r="Y13" s="257">
        <v>9</v>
      </c>
      <c r="Z13" s="257">
        <v>10</v>
      </c>
      <c r="AA13" s="257">
        <v>11</v>
      </c>
      <c r="AB13" s="257">
        <v>12</v>
      </c>
      <c r="AC13" s="257">
        <v>13</v>
      </c>
      <c r="AD13" s="257">
        <v>14</v>
      </c>
      <c r="AE13" s="257">
        <v>15</v>
      </c>
      <c r="AF13" s="257">
        <v>16</v>
      </c>
      <c r="AG13" s="257">
        <v>17</v>
      </c>
      <c r="AH13" s="257">
        <v>18</v>
      </c>
      <c r="AI13" s="257">
        <v>19</v>
      </c>
      <c r="AJ13" s="257">
        <v>20</v>
      </c>
      <c r="AK13" s="257">
        <v>21</v>
      </c>
      <c r="AL13" s="257">
        <v>22</v>
      </c>
      <c r="AM13" s="257">
        <v>23</v>
      </c>
      <c r="AN13" s="257">
        <v>24</v>
      </c>
      <c r="AO13" s="257">
        <v>25</v>
      </c>
      <c r="AP13" s="257">
        <v>26</v>
      </c>
      <c r="AQ13" s="257">
        <v>27</v>
      </c>
      <c r="AR13" s="257">
        <v>28</v>
      </c>
      <c r="AS13" s="257">
        <v>29</v>
      </c>
      <c r="AT13" s="257">
        <v>30</v>
      </c>
      <c r="AU13" s="257">
        <v>31</v>
      </c>
      <c r="AV13" s="257">
        <v>32</v>
      </c>
      <c r="AW13" s="257">
        <v>33</v>
      </c>
      <c r="AX13" s="257">
        <v>34</v>
      </c>
      <c r="AY13" s="257">
        <v>35</v>
      </c>
      <c r="AZ13" s="257">
        <v>36</v>
      </c>
      <c r="BA13" s="257">
        <v>37</v>
      </c>
      <c r="BB13" s="257">
        <v>38</v>
      </c>
      <c r="BC13" s="257">
        <v>39</v>
      </c>
      <c r="BD13" s="257">
        <v>40</v>
      </c>
      <c r="BE13" s="257">
        <v>41</v>
      </c>
      <c r="BF13" s="257">
        <v>42</v>
      </c>
      <c r="BG13" s="257">
        <v>43</v>
      </c>
      <c r="BH13" s="257">
        <v>44</v>
      </c>
      <c r="BI13" s="257">
        <v>45</v>
      </c>
    </row>
    <row r="14" spans="1:82" ht="15" x14ac:dyDescent="0.25">
      <c r="A14" s="17"/>
      <c r="B14" s="23" t="s">
        <v>17</v>
      </c>
      <c r="C14" s="36">
        <f>IF(M4=1,120,170)</f>
        <v>170</v>
      </c>
      <c r="D14" s="18" t="s">
        <v>10</v>
      </c>
      <c r="E14" s="17"/>
      <c r="F14" s="17"/>
      <c r="G14" s="17"/>
      <c r="H14" s="17"/>
      <c r="I14" s="17"/>
      <c r="J14" s="29"/>
      <c r="K14" s="115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  <c r="AY14" s="257"/>
      <c r="AZ14" s="257"/>
      <c r="BA14" s="257"/>
      <c r="BB14" s="257"/>
      <c r="BC14" s="257"/>
      <c r="BD14" s="257"/>
      <c r="BE14" s="257"/>
      <c r="BF14" s="257"/>
      <c r="BG14" s="257"/>
      <c r="BH14" s="257"/>
      <c r="BI14" s="257"/>
    </row>
    <row r="15" spans="1:82" ht="15" x14ac:dyDescent="0.25">
      <c r="A15" s="17"/>
      <c r="B15" s="23" t="s">
        <v>11</v>
      </c>
      <c r="C15" s="36">
        <v>0.05</v>
      </c>
      <c r="D15" s="17" t="s">
        <v>10</v>
      </c>
      <c r="E15" s="17"/>
      <c r="F15" s="37" t="str">
        <f>IF(AND($K$22=3,$K$12&lt;$K$23),"Min Lc ="," ")</f>
        <v xml:space="preserve"> </v>
      </c>
      <c r="G15" s="38" t="str">
        <f>IF(AND($K$22=3,$K$12&lt;$K$23),$K$23," ")</f>
        <v xml:space="preserve"> </v>
      </c>
      <c r="H15" s="39" t="str">
        <f>IF(AND($K$22=3,$K$12&lt;$K$23),"mm"," ")</f>
        <v xml:space="preserve"> </v>
      </c>
      <c r="I15" s="29"/>
      <c r="J15" s="29"/>
      <c r="K15" s="115"/>
      <c r="S15" s="16" t="s">
        <v>307</v>
      </c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  <c r="AQ15" s="257"/>
      <c r="AR15" s="257"/>
      <c r="AS15" s="257"/>
      <c r="AT15" s="257"/>
      <c r="AU15" s="257"/>
      <c r="AV15" s="257"/>
      <c r="AW15" s="257"/>
      <c r="AX15" s="257"/>
      <c r="AY15" s="257"/>
      <c r="AZ15" s="257"/>
      <c r="BA15" s="257"/>
      <c r="BB15" s="257"/>
      <c r="BC15" s="257"/>
      <c r="BD15" s="257"/>
      <c r="BE15" s="257"/>
      <c r="BF15" s="257"/>
      <c r="BG15" s="257"/>
      <c r="BH15" s="257"/>
      <c r="BI15" s="257"/>
    </row>
    <row r="16" spans="1:82" ht="15" x14ac:dyDescent="0.2">
      <c r="A16" s="22"/>
      <c r="B16" s="17"/>
      <c r="C16" s="17"/>
      <c r="D16" s="17"/>
      <c r="E16" s="17"/>
      <c r="F16" s="37"/>
      <c r="G16" s="38"/>
      <c r="H16" s="39"/>
      <c r="I16" s="29"/>
      <c r="J16" s="29"/>
      <c r="K16" s="115"/>
      <c r="P16" s="16">
        <f>IF(AND(M4=1,OR(Q16=1,Q16=3,Q16=4)),0,1)</f>
        <v>1</v>
      </c>
      <c r="Q16" s="111">
        <v>2</v>
      </c>
      <c r="R16" s="16" t="str">
        <f>VLOOKUP(Q16,Q17:R21,2)</f>
        <v>S = Single short carriage</v>
      </c>
      <c r="S16" s="16">
        <f>IF(Q16&gt;3,2,1)</f>
        <v>1</v>
      </c>
      <c r="U16" s="16">
        <f>AQ4</f>
        <v>0</v>
      </c>
      <c r="V16" s="257">
        <f>AM4</f>
        <v>2.1</v>
      </c>
      <c r="W16" s="257" t="str">
        <f>V4</f>
        <v>S</v>
      </c>
      <c r="X16" s="112">
        <v>1</v>
      </c>
      <c r="Y16" s="16">
        <f>IF(X16=1,1,0)</f>
        <v>1</v>
      </c>
      <c r="AW16" s="277">
        <v>1</v>
      </c>
      <c r="AX16" s="278" t="s">
        <v>395</v>
      </c>
      <c r="AY16" s="278" t="s">
        <v>393</v>
      </c>
      <c r="AZ16" s="278"/>
      <c r="BA16" s="278"/>
      <c r="BG16" s="90"/>
      <c r="BH16" s="90"/>
      <c r="BI16" s="90"/>
      <c r="BJ16" s="90"/>
      <c r="BK16" s="90"/>
      <c r="BL16" s="90"/>
      <c r="BM16" s="90"/>
      <c r="BN16" s="90"/>
      <c r="BO16" s="90"/>
    </row>
    <row r="17" spans="1:76" ht="15" x14ac:dyDescent="0.25">
      <c r="A17" s="17"/>
      <c r="B17" s="17"/>
      <c r="C17" s="17"/>
      <c r="D17" s="17"/>
      <c r="E17" s="17"/>
      <c r="F17" s="49"/>
      <c r="G17" s="17"/>
      <c r="H17" s="17"/>
      <c r="I17" s="17"/>
      <c r="J17" s="17"/>
      <c r="K17" s="115"/>
      <c r="Q17" s="257">
        <v>1</v>
      </c>
      <c r="R17" s="16" t="str">
        <f>IF(M4=1,"  xxx","N = Single standard carriage")</f>
        <v>N = Single standard carriage</v>
      </c>
      <c r="V17" s="257"/>
      <c r="X17" s="16">
        <v>1</v>
      </c>
      <c r="Y17" s="16" t="s">
        <v>76</v>
      </c>
      <c r="AW17" s="277">
        <v>2</v>
      </c>
      <c r="AX17" s="278" t="s">
        <v>396</v>
      </c>
      <c r="AY17" s="278" t="s">
        <v>394</v>
      </c>
      <c r="AZ17" s="278"/>
      <c r="BA17" s="278"/>
      <c r="BG17" s="90"/>
      <c r="BH17" s="90"/>
      <c r="BI17" s="90"/>
      <c r="BJ17" s="90"/>
      <c r="BK17" s="90"/>
      <c r="BL17" s="90"/>
      <c r="BM17" s="90"/>
      <c r="BN17" s="90"/>
      <c r="BO17" s="90"/>
    </row>
    <row r="18" spans="1:76" ht="15" x14ac:dyDescent="0.25">
      <c r="A18" s="25"/>
      <c r="B18" s="26" t="s">
        <v>9</v>
      </c>
      <c r="C18" s="328"/>
      <c r="D18" s="329"/>
      <c r="E18" s="32" t="str">
        <f>IF(K22=2,"Not available"," ")</f>
        <v xml:space="preserve"> </v>
      </c>
      <c r="F18" s="26" t="str">
        <f>IF(S16=2,"LA ="," ")</f>
        <v xml:space="preserve"> </v>
      </c>
      <c r="G18" s="34">
        <v>500</v>
      </c>
      <c r="H18" s="35" t="str">
        <f>IF(Q16&gt;3,"mm"," ")</f>
        <v xml:space="preserve"> </v>
      </c>
      <c r="I18" s="49" t="str">
        <f>IF(AND(S16=2,G18&lt;AA4),"Too short"," ")</f>
        <v xml:space="preserve"> </v>
      </c>
      <c r="J18" s="29"/>
      <c r="K18" s="115"/>
      <c r="Q18" s="257">
        <v>2</v>
      </c>
      <c r="R18" s="16" t="s">
        <v>393</v>
      </c>
      <c r="V18" s="257"/>
      <c r="X18" s="16">
        <v>2</v>
      </c>
      <c r="Y18" s="16" t="s">
        <v>77</v>
      </c>
      <c r="AB18" s="16" t="s">
        <v>295</v>
      </c>
      <c r="AK18" s="257">
        <f>IF(Q4=4,1,1.5)</f>
        <v>1</v>
      </c>
      <c r="AL18" s="16" t="s">
        <v>296</v>
      </c>
      <c r="AW18" s="277">
        <v>3</v>
      </c>
      <c r="AX18" s="278" t="s">
        <v>397</v>
      </c>
      <c r="AY18" s="278" t="s">
        <v>402</v>
      </c>
      <c r="AZ18" s="278"/>
      <c r="BA18" s="278"/>
      <c r="BG18" s="90"/>
      <c r="BH18" s="90"/>
      <c r="BI18" s="90"/>
      <c r="BJ18" s="90"/>
      <c r="BK18" s="90"/>
      <c r="BL18" s="90"/>
      <c r="BM18" s="90"/>
      <c r="BN18" s="217"/>
      <c r="BO18" s="273"/>
    </row>
    <row r="19" spans="1:76" ht="15" x14ac:dyDescent="0.25">
      <c r="A19" s="22"/>
      <c r="B19" s="23" t="s">
        <v>15</v>
      </c>
      <c r="C19" s="40">
        <v>2000</v>
      </c>
      <c r="D19" s="18" t="s">
        <v>10</v>
      </c>
      <c r="E19" s="17"/>
      <c r="F19" s="23" t="s">
        <v>16</v>
      </c>
      <c r="G19" s="36">
        <f>C19+Z4</f>
        <v>2490</v>
      </c>
      <c r="H19" s="41" t="s">
        <v>10</v>
      </c>
      <c r="I19" s="29"/>
      <c r="J19" s="29"/>
      <c r="K19" s="115"/>
      <c r="Q19" s="257">
        <v>3</v>
      </c>
      <c r="R19" s="16" t="str">
        <f>IF(M4=1,"  xxx ","L = Single long carriage")</f>
        <v>L = Single long carriage</v>
      </c>
      <c r="V19" s="257"/>
      <c r="AB19" s="16" t="s">
        <v>297</v>
      </c>
      <c r="AW19" s="277">
        <v>4</v>
      </c>
      <c r="AX19" s="278" t="s">
        <v>398</v>
      </c>
      <c r="AY19" s="278" t="s">
        <v>393</v>
      </c>
      <c r="AZ19" s="278"/>
      <c r="BA19" s="278"/>
      <c r="BG19" s="90"/>
      <c r="BH19" s="90"/>
      <c r="BI19" s="90"/>
      <c r="BJ19" s="273"/>
      <c r="BK19" s="273"/>
      <c r="BL19" s="273"/>
      <c r="BM19" s="273"/>
      <c r="BN19" s="90"/>
      <c r="BO19" s="90"/>
    </row>
    <row r="20" spans="1:76" ht="15" x14ac:dyDescent="0.25">
      <c r="A20" s="17"/>
      <c r="B20" s="17"/>
      <c r="C20" s="49" t="str">
        <f>IF(C19&gt;X4,"Longer than standard. Check with plant"," ")</f>
        <v xml:space="preserve"> </v>
      </c>
      <c r="D20" s="17"/>
      <c r="E20" s="108"/>
      <c r="F20" s="108"/>
      <c r="G20" s="17"/>
      <c r="H20" s="17"/>
      <c r="I20" s="29"/>
      <c r="J20" s="29"/>
      <c r="K20" s="115"/>
      <c r="Q20" s="257">
        <v>4</v>
      </c>
      <c r="R20" s="16" t="str">
        <f>IF(M4=1,"  xxx","Z = Double standard carriages")</f>
        <v>Z = Double standard carriages</v>
      </c>
      <c r="AQ20" s="90"/>
      <c r="AR20" s="90"/>
      <c r="AS20" s="90"/>
      <c r="AT20" s="90"/>
      <c r="AU20" s="90"/>
      <c r="AV20" s="273"/>
      <c r="AW20" s="277">
        <v>5</v>
      </c>
      <c r="AX20" s="278" t="s">
        <v>399</v>
      </c>
      <c r="AY20" s="278" t="s">
        <v>403</v>
      </c>
      <c r="AZ20" s="279"/>
      <c r="BA20" s="279"/>
      <c r="BB20" s="90"/>
      <c r="BC20" s="90"/>
      <c r="BD20" s="90"/>
      <c r="BE20" s="90"/>
      <c r="BF20" s="90"/>
      <c r="BG20" s="90"/>
      <c r="BH20" s="90"/>
      <c r="BI20" s="90"/>
      <c r="BJ20" s="273"/>
      <c r="BK20" s="273"/>
      <c r="BL20" s="273"/>
      <c r="BM20" s="273"/>
      <c r="BN20" s="90"/>
      <c r="BO20" s="90"/>
    </row>
    <row r="21" spans="1:76" ht="15" x14ac:dyDescent="0.25">
      <c r="A21" s="22"/>
      <c r="B21" s="22"/>
      <c r="C21" s="42" t="s">
        <v>97</v>
      </c>
      <c r="D21" s="18"/>
      <c r="E21" s="106"/>
      <c r="F21" s="107"/>
      <c r="G21" s="38"/>
      <c r="H21" s="39"/>
      <c r="I21" s="29"/>
      <c r="J21" s="29"/>
      <c r="K21" s="115"/>
      <c r="Q21" s="257">
        <v>5</v>
      </c>
      <c r="R21" s="16" t="s">
        <v>394</v>
      </c>
      <c r="AQ21" s="90"/>
      <c r="AR21" s="90"/>
      <c r="AS21" s="90"/>
      <c r="AT21" s="90"/>
      <c r="AU21" s="90"/>
      <c r="AV21" s="90"/>
      <c r="AW21" s="277">
        <v>6</v>
      </c>
      <c r="AX21" s="278" t="s">
        <v>400</v>
      </c>
      <c r="AY21" s="278" t="s">
        <v>404</v>
      </c>
      <c r="AZ21" s="279"/>
      <c r="BA21" s="279"/>
      <c r="BB21" s="90"/>
      <c r="BC21" s="90"/>
      <c r="BD21" s="275"/>
      <c r="BE21" s="90"/>
      <c r="BF21" s="90"/>
      <c r="BG21" s="90"/>
      <c r="BH21" s="90"/>
      <c r="BI21" s="90"/>
      <c r="BJ21" s="273"/>
      <c r="BK21" s="273"/>
      <c r="BL21" s="273"/>
      <c r="BM21" s="273"/>
      <c r="BN21" s="90"/>
      <c r="BO21" s="90"/>
    </row>
    <row r="22" spans="1:76" ht="15" x14ac:dyDescent="0.25">
      <c r="A22" s="22" t="str">
        <f>IF(Q23=2,"Distance between  linear units"," ")</f>
        <v xml:space="preserve"> </v>
      </c>
      <c r="B22" s="23"/>
      <c r="C22" s="18"/>
      <c r="D22" s="331">
        <v>800</v>
      </c>
      <c r="E22" s="106"/>
      <c r="F22" s="108"/>
      <c r="G22" s="17"/>
      <c r="H22" s="17"/>
      <c r="I22" s="29"/>
      <c r="J22" s="29"/>
      <c r="K22" s="115"/>
      <c r="AA22" s="16" t="s">
        <v>94</v>
      </c>
      <c r="AF22" s="16" t="s">
        <v>407</v>
      </c>
      <c r="AQ22" s="275"/>
      <c r="AR22" s="273"/>
      <c r="AS22" s="275"/>
      <c r="AT22" s="273"/>
      <c r="AU22" s="275"/>
      <c r="AV22" s="273"/>
      <c r="AW22" s="277">
        <v>7</v>
      </c>
      <c r="AX22" s="278" t="s">
        <v>401</v>
      </c>
      <c r="AY22" s="278" t="s">
        <v>394</v>
      </c>
      <c r="AZ22" s="280"/>
      <c r="BA22" s="281"/>
      <c r="BB22" s="273"/>
      <c r="BC22" s="275"/>
      <c r="BD22" s="273"/>
      <c r="BE22" s="275"/>
      <c r="BF22" s="273"/>
      <c r="BG22" s="90"/>
      <c r="BH22" s="90"/>
      <c r="BI22" s="273"/>
      <c r="BJ22" s="273"/>
      <c r="BK22" s="273"/>
      <c r="BL22" s="273"/>
      <c r="BM22" s="273"/>
      <c r="BN22" s="90"/>
      <c r="BO22" s="90"/>
    </row>
    <row r="23" spans="1:76" ht="15" x14ac:dyDescent="0.25">
      <c r="A23" s="17"/>
      <c r="B23" s="17"/>
      <c r="C23" s="17"/>
      <c r="D23" s="43"/>
      <c r="E23" s="29"/>
      <c r="F23" s="26"/>
      <c r="G23" s="17"/>
      <c r="H23" s="29"/>
      <c r="I23" s="17"/>
      <c r="J23" s="29"/>
      <c r="K23" s="115"/>
      <c r="Q23" s="111">
        <v>1</v>
      </c>
      <c r="R23" s="16" t="s">
        <v>93</v>
      </c>
      <c r="S23" s="257">
        <f>Q23-1</f>
        <v>0</v>
      </c>
      <c r="T23" s="111">
        <v>1</v>
      </c>
      <c r="W23" s="112">
        <v>1</v>
      </c>
      <c r="AA23" s="16">
        <f>IF(AND(Q23=1,T23=1,W23=1),1,IF(AND(Q23=2,T23=1,W23=1),2,IF(AND(Q23=1,T23=1,W23=2),3,IF(AND(Q23=2,T23=1,W23=2),4,IF(AND(Q23=1,T23=2),5,IF(AND(Q23=2,T23=2),6,""))))))</f>
        <v>1</v>
      </c>
      <c r="AF23" s="233">
        <f>IF(OR(Q4=1,Q4=4),1,0)</f>
        <v>1</v>
      </c>
      <c r="AQ23" s="72"/>
      <c r="AR23" s="72"/>
      <c r="AS23" s="72"/>
      <c r="AT23" s="72"/>
      <c r="AU23" s="72"/>
      <c r="AV23" s="72"/>
      <c r="AW23" s="279"/>
      <c r="AX23" s="279"/>
      <c r="AY23" s="279"/>
      <c r="AZ23" s="279"/>
      <c r="BA23" s="279"/>
      <c r="BB23" s="90"/>
      <c r="BC23" s="90"/>
      <c r="BD23" s="90"/>
      <c r="BE23" s="90"/>
      <c r="BF23" s="90"/>
      <c r="BG23" s="90"/>
      <c r="BH23" s="90"/>
      <c r="BI23" s="273"/>
      <c r="BJ23" s="90"/>
      <c r="BK23" s="90"/>
      <c r="BL23" s="90"/>
      <c r="BM23" s="90"/>
      <c r="BN23" s="276"/>
      <c r="BO23" s="273"/>
    </row>
    <row r="24" spans="1:76" ht="15" x14ac:dyDescent="0.25">
      <c r="A24" s="44"/>
      <c r="B24" s="29"/>
      <c r="C24" s="33" t="s">
        <v>12</v>
      </c>
      <c r="D24" s="45">
        <f>Q23*(AN4+(G19+IF(S16=2,G18,0))/100*AO4+AM4)</f>
        <v>31.220000000000002</v>
      </c>
      <c r="E24" s="29" t="s">
        <v>13</v>
      </c>
      <c r="F24" s="17"/>
      <c r="G24" s="36" t="str">
        <f>IF(M35=0," ",IF(C27/2000&gt;#REF!,"OK","Too much"))</f>
        <v xml:space="preserve"> </v>
      </c>
      <c r="H24" s="17"/>
      <c r="I24" s="29"/>
      <c r="J24" s="29"/>
      <c r="K24" s="115"/>
      <c r="Q24" s="257" t="s">
        <v>95</v>
      </c>
      <c r="T24" s="257">
        <v>1</v>
      </c>
      <c r="U24" s="16" t="s">
        <v>18</v>
      </c>
      <c r="W24" s="16">
        <v>1</v>
      </c>
      <c r="X24" s="16" t="str">
        <f>IF(T23=1,"Top or downward"," ")</f>
        <v>Top or downward</v>
      </c>
      <c r="AA24" s="16" t="str">
        <f>R108</f>
        <v>Horizontal mounting, single unit, carriage at top</v>
      </c>
      <c r="AH24" s="68"/>
      <c r="AI24" s="68"/>
      <c r="AQ24" s="72"/>
      <c r="AR24" s="72"/>
      <c r="AS24" s="72"/>
      <c r="AT24" s="72"/>
      <c r="AU24" s="72"/>
      <c r="AV24" s="72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273"/>
      <c r="BJ24" s="90"/>
      <c r="BK24" s="90"/>
      <c r="BL24" s="90"/>
      <c r="BM24" s="90"/>
      <c r="BN24" s="90"/>
      <c r="BO24" s="90"/>
    </row>
    <row r="25" spans="1:76" x14ac:dyDescent="0.2">
      <c r="A25" s="17"/>
      <c r="B25" s="17"/>
      <c r="C25" s="17"/>
      <c r="D25" s="17"/>
      <c r="E25" s="29"/>
      <c r="F25" s="26" t="str">
        <f>IF(M35=0," ","Deflection")</f>
        <v xml:space="preserve"> </v>
      </c>
      <c r="G25" s="17"/>
      <c r="H25" s="17"/>
      <c r="I25" s="17"/>
      <c r="J25" s="17"/>
      <c r="K25" s="115"/>
      <c r="Q25" s="257" t="s">
        <v>96</v>
      </c>
      <c r="T25" s="257">
        <v>2</v>
      </c>
      <c r="U25" s="16" t="s">
        <v>19</v>
      </c>
      <c r="W25" s="16">
        <v>2</v>
      </c>
      <c r="X25" s="16" t="str">
        <f>IF(T23=1,"Sideway"," ")</f>
        <v>Sideway</v>
      </c>
      <c r="AH25" s="68"/>
      <c r="AI25" s="68"/>
      <c r="AQ25" s="72"/>
      <c r="AR25" s="72"/>
      <c r="AS25" s="72"/>
      <c r="AT25" s="72"/>
      <c r="AU25" s="72"/>
      <c r="AV25" s="72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273"/>
      <c r="BJ25" s="90"/>
      <c r="BK25" s="90"/>
      <c r="BL25" s="90"/>
      <c r="BM25" s="90"/>
      <c r="BN25" s="90"/>
      <c r="BO25" s="90"/>
    </row>
    <row r="26" spans="1:76" x14ac:dyDescent="0.2">
      <c r="A26" s="25"/>
      <c r="B26" s="42" t="s">
        <v>14</v>
      </c>
      <c r="C26" s="18"/>
      <c r="D26" s="46"/>
      <c r="E26" s="17"/>
      <c r="F26" s="17"/>
      <c r="G26" s="17"/>
      <c r="H26" s="29"/>
      <c r="I26" s="17"/>
      <c r="J26" s="17"/>
      <c r="K26" s="115"/>
      <c r="Q26" s="257"/>
      <c r="AH26" s="68"/>
      <c r="AI26" s="68"/>
      <c r="AQ26" s="72"/>
      <c r="AR26" s="72"/>
      <c r="AS26" s="72"/>
      <c r="AT26" s="72"/>
      <c r="AU26" s="72"/>
      <c r="AV26" s="72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</row>
    <row r="27" spans="1:76" x14ac:dyDescent="0.2">
      <c r="A27" s="25"/>
      <c r="B27" s="26"/>
      <c r="C27" s="328"/>
      <c r="D27" s="29"/>
      <c r="E27" s="17"/>
      <c r="F27" s="17"/>
      <c r="G27" s="17"/>
      <c r="H27" s="17"/>
      <c r="I27" s="17"/>
      <c r="J27" s="17"/>
      <c r="K27" s="115"/>
      <c r="Q27" s="257"/>
      <c r="X27" s="51" t="s">
        <v>70</v>
      </c>
      <c r="Y27" s="257">
        <v>0.1</v>
      </c>
      <c r="AQ27" s="72"/>
      <c r="AR27" s="72"/>
      <c r="AS27" s="72"/>
      <c r="AT27" s="72"/>
      <c r="AU27" s="72"/>
      <c r="AV27" s="72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</row>
    <row r="28" spans="1:76" ht="15" x14ac:dyDescent="0.25">
      <c r="A28" s="17"/>
      <c r="B28" s="17"/>
      <c r="C28" s="17"/>
      <c r="D28" s="17"/>
      <c r="E28" s="17"/>
      <c r="F28" s="17"/>
      <c r="G28" s="353"/>
      <c r="H28" s="17"/>
      <c r="I28" s="17"/>
      <c r="J28" s="17"/>
      <c r="K28" s="115"/>
      <c r="Q28" s="87" t="s">
        <v>90</v>
      </c>
      <c r="R28" s="88"/>
      <c r="S28" s="88"/>
      <c r="T28" s="88"/>
      <c r="U28" s="88"/>
      <c r="V28" s="88"/>
      <c r="W28" s="88" t="str">
        <f>S4</f>
        <v>S = Single short carriage</v>
      </c>
      <c r="X28" s="88"/>
      <c r="Y28" s="88"/>
      <c r="Z28" s="88"/>
      <c r="AA28" s="88"/>
      <c r="AB28" s="88"/>
      <c r="AC28" s="88"/>
      <c r="AD28" s="88"/>
      <c r="AE28" s="257"/>
      <c r="AF28" s="257"/>
      <c r="AH28" s="51" t="s">
        <v>351</v>
      </c>
      <c r="AI28" s="257" t="s">
        <v>350</v>
      </c>
      <c r="AQ28" s="72"/>
      <c r="AR28" s="72"/>
      <c r="AS28" s="72"/>
      <c r="AT28" s="72"/>
      <c r="AU28" s="72"/>
      <c r="AV28" s="72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</row>
    <row r="29" spans="1:76" x14ac:dyDescent="0.2">
      <c r="A29" s="17"/>
      <c r="B29" s="17"/>
      <c r="C29" s="17"/>
      <c r="D29" s="17"/>
      <c r="E29" s="353"/>
      <c r="F29" s="353"/>
      <c r="G29" s="17"/>
      <c r="H29" s="353"/>
      <c r="I29" s="17"/>
      <c r="J29" s="17"/>
      <c r="K29" s="115"/>
      <c r="Q29" s="89" t="s">
        <v>66</v>
      </c>
      <c r="R29" s="90"/>
      <c r="S29" s="90"/>
      <c r="T29" s="90"/>
      <c r="U29" s="90"/>
      <c r="V29" s="90"/>
      <c r="W29" s="256" t="s">
        <v>348</v>
      </c>
      <c r="X29" s="90"/>
      <c r="Y29" s="90"/>
      <c r="Z29" s="90"/>
      <c r="AA29" s="90"/>
      <c r="AB29" s="256" t="s">
        <v>72</v>
      </c>
      <c r="AC29" s="90"/>
      <c r="AD29" s="90"/>
      <c r="AE29" s="467"/>
      <c r="AF29" s="473"/>
      <c r="AH29" s="51" t="s">
        <v>352</v>
      </c>
      <c r="AI29" s="16" t="s">
        <v>353</v>
      </c>
      <c r="AQ29" s="72"/>
      <c r="AR29" s="72"/>
      <c r="AS29" s="72"/>
      <c r="AT29" s="72"/>
      <c r="AU29" s="72"/>
      <c r="AV29" s="72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</row>
    <row r="30" spans="1:76" ht="15" x14ac:dyDescent="0.25">
      <c r="A30" s="353"/>
      <c r="B30" s="353"/>
      <c r="C30" s="353"/>
      <c r="D30" s="353"/>
      <c r="E30" s="17"/>
      <c r="F30" s="17"/>
      <c r="G30" s="17"/>
      <c r="H30" s="17"/>
      <c r="I30" s="353"/>
      <c r="J30" s="353"/>
      <c r="K30" s="282"/>
      <c r="Q30" s="92"/>
      <c r="R30" s="90" t="s">
        <v>67</v>
      </c>
      <c r="S30" s="90" t="s">
        <v>68</v>
      </c>
      <c r="T30" s="90" t="s">
        <v>69</v>
      </c>
      <c r="U30" s="90"/>
      <c r="V30" s="90" t="s">
        <v>71</v>
      </c>
      <c r="W30" s="256" t="s">
        <v>349</v>
      </c>
      <c r="X30" s="90"/>
      <c r="Y30" s="93" t="s">
        <v>69</v>
      </c>
      <c r="Z30" s="90"/>
      <c r="AA30" s="90"/>
      <c r="AB30" s="256" t="s">
        <v>73</v>
      </c>
      <c r="AC30" s="90" t="s">
        <v>74</v>
      </c>
      <c r="AD30" s="90"/>
      <c r="AE30" s="257"/>
      <c r="AF30" s="257"/>
      <c r="AQ30" s="72"/>
      <c r="AR30" s="72"/>
      <c r="AS30" s="72"/>
      <c r="AT30" s="72"/>
      <c r="AU30" s="72"/>
      <c r="AV30" s="72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</row>
    <row r="31" spans="1:76" s="24" customFormat="1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15"/>
      <c r="L31" s="16"/>
      <c r="M31" s="16"/>
      <c r="N31" s="16"/>
      <c r="O31" s="16"/>
      <c r="P31" s="16"/>
      <c r="Q31" s="94" t="s">
        <v>24</v>
      </c>
      <c r="R31" s="256">
        <f>$C$49*10*M52/1000</f>
        <v>0</v>
      </c>
      <c r="S31" s="256">
        <v>0</v>
      </c>
      <c r="T31" s="256">
        <f>Y16*R31+S31+C46</f>
        <v>0</v>
      </c>
      <c r="U31" s="90" t="s">
        <v>27</v>
      </c>
      <c r="V31" s="95">
        <f>T31/AR4*1000*Y27</f>
        <v>0</v>
      </c>
      <c r="W31" s="95">
        <f>V31</f>
        <v>0</v>
      </c>
      <c r="X31" s="90"/>
      <c r="Y31" s="256" t="s">
        <v>20</v>
      </c>
      <c r="Z31" s="96">
        <f>C43+(C49+AM4*S16)*C53+AP4*S16+V39</f>
        <v>26.7</v>
      </c>
      <c r="AA31" s="90" t="s">
        <v>21</v>
      </c>
      <c r="AB31" s="256">
        <f>AB4</f>
        <v>1230</v>
      </c>
      <c r="AC31" s="90"/>
      <c r="AD31" s="90"/>
      <c r="AE31" s="117"/>
      <c r="AF31" s="117"/>
      <c r="AG31" s="16"/>
      <c r="AH31" s="66">
        <f>Z31</f>
        <v>26.7</v>
      </c>
      <c r="AI31" s="66">
        <f>C43+AP4*S16+W39</f>
        <v>22.5</v>
      </c>
      <c r="AJ31" s="16"/>
      <c r="AK31" s="16"/>
      <c r="AL31" s="16"/>
      <c r="AM31" s="16"/>
      <c r="AN31" s="16"/>
      <c r="AO31" s="16"/>
      <c r="AP31" s="16"/>
      <c r="AQ31" s="72"/>
      <c r="AR31" s="72"/>
      <c r="AS31" s="72"/>
      <c r="AT31" s="72"/>
      <c r="AU31" s="72"/>
      <c r="AV31" s="72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273"/>
      <c r="BK31" s="273"/>
      <c r="BL31" s="273"/>
      <c r="BM31" s="90"/>
      <c r="BN31" s="90"/>
      <c r="BO31" s="90"/>
      <c r="BP31" s="16"/>
      <c r="BQ31" s="16"/>
      <c r="BR31" s="16"/>
      <c r="BS31" s="16"/>
      <c r="BT31" s="16"/>
      <c r="BU31" s="16"/>
      <c r="BV31" s="16"/>
      <c r="BW31" s="16"/>
      <c r="BX31" s="16"/>
    </row>
    <row r="32" spans="1:76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15"/>
      <c r="L32" s="24"/>
      <c r="M32" s="24"/>
      <c r="N32" s="24"/>
      <c r="Q32" s="94" t="s">
        <v>25</v>
      </c>
      <c r="R32" s="256">
        <f>$C$49*10*M51/1000</f>
        <v>0</v>
      </c>
      <c r="S32" s="256">
        <f>C49*C53*M53/1000</f>
        <v>0</v>
      </c>
      <c r="T32" s="256">
        <f>Y16*R32+S32+C47</f>
        <v>0</v>
      </c>
      <c r="U32" s="90" t="s">
        <v>27</v>
      </c>
      <c r="V32" s="95">
        <f>IF(AF23=1,T32*AK18,T32/U16*1000*Y27)</f>
        <v>0</v>
      </c>
      <c r="W32" s="95">
        <f>IF(AF23=1,(T32-S32)*AK18,(T32-S32)/U16*1000*Y27)</f>
        <v>0</v>
      </c>
      <c r="X32" s="90"/>
      <c r="Y32" s="256" t="s">
        <v>22</v>
      </c>
      <c r="Z32" s="256">
        <f>C44</f>
        <v>0</v>
      </c>
      <c r="AA32" s="90" t="s">
        <v>21</v>
      </c>
      <c r="AB32" s="256">
        <f>AC4</f>
        <v>2100</v>
      </c>
      <c r="AC32" s="97">
        <f>Z32/AB32</f>
        <v>0</v>
      </c>
      <c r="AD32" s="90"/>
      <c r="AE32" s="117"/>
      <c r="AF32" s="117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273"/>
      <c r="BK32" s="273"/>
      <c r="BL32" s="273"/>
      <c r="BM32" s="90"/>
      <c r="BN32" s="90"/>
      <c r="BO32" s="90"/>
    </row>
    <row r="33" spans="1:86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15"/>
      <c r="O33" s="24"/>
      <c r="P33" s="24"/>
      <c r="Q33" s="94" t="s">
        <v>26</v>
      </c>
      <c r="R33" s="256">
        <v>0</v>
      </c>
      <c r="S33" s="256">
        <f>C49*C53*M52/1000</f>
        <v>0</v>
      </c>
      <c r="T33" s="256">
        <f>Y16*R33+S33+C48</f>
        <v>0</v>
      </c>
      <c r="U33" s="90" t="s">
        <v>27</v>
      </c>
      <c r="V33" s="95">
        <f>IF(AF23=1,T33*AK18,T33/U16*1000*Y27)</f>
        <v>0</v>
      </c>
      <c r="W33" s="95">
        <f>IF(AF23=1,(T33-S33)*AK18,(T33-S33)/U16*1000*Y27)</f>
        <v>0</v>
      </c>
      <c r="X33" s="90"/>
      <c r="Y33" s="256" t="s">
        <v>23</v>
      </c>
      <c r="Z33" s="256">
        <f>C45+C49*10*Y16</f>
        <v>0</v>
      </c>
      <c r="AA33" s="90" t="s">
        <v>21</v>
      </c>
      <c r="AB33" s="256">
        <f>AD4</f>
        <v>2100</v>
      </c>
      <c r="AC33" s="97">
        <f>Z33/AB33</f>
        <v>0</v>
      </c>
      <c r="AD33" s="90"/>
      <c r="AE33" s="117"/>
      <c r="AF33" s="117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8"/>
      <c r="BK33" s="98"/>
      <c r="BL33" s="98"/>
      <c r="BM33" s="98"/>
      <c r="BN33" s="98"/>
      <c r="BO33" s="98"/>
      <c r="BP33" s="24"/>
      <c r="BQ33" s="24"/>
      <c r="BR33" s="24"/>
      <c r="BS33" s="24"/>
      <c r="BT33" s="24"/>
      <c r="BU33" s="24"/>
      <c r="BV33" s="24"/>
      <c r="BW33" s="24"/>
      <c r="BX33" s="24"/>
    </row>
    <row r="34" spans="1:86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15"/>
      <c r="Q34" s="94"/>
      <c r="R34" s="90"/>
      <c r="S34" s="90"/>
      <c r="T34" s="90"/>
      <c r="U34" s="90"/>
      <c r="V34" s="90"/>
      <c r="W34" s="90"/>
      <c r="X34" s="90"/>
      <c r="Y34" s="256" t="s">
        <v>24</v>
      </c>
      <c r="Z34" s="256">
        <f>T31</f>
        <v>0</v>
      </c>
      <c r="AA34" s="90" t="s">
        <v>27</v>
      </c>
      <c r="AB34" s="256">
        <f>AE4</f>
        <v>68</v>
      </c>
      <c r="AC34" s="97">
        <f>Z34/AB34</f>
        <v>0</v>
      </c>
      <c r="AD34" s="90"/>
      <c r="AE34" s="117"/>
      <c r="AF34" s="117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275"/>
      <c r="BJ34" s="90"/>
      <c r="BK34" s="90"/>
      <c r="BL34" s="90"/>
      <c r="BM34" s="90"/>
      <c r="BN34" s="90"/>
      <c r="BO34" s="90"/>
    </row>
    <row r="35" spans="1:86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15"/>
      <c r="Q35" s="94" t="s">
        <v>22</v>
      </c>
      <c r="R35" s="90"/>
      <c r="S35" s="90"/>
      <c r="T35" s="90"/>
      <c r="U35" s="90"/>
      <c r="V35" s="256">
        <f>Z32*Y27</f>
        <v>0</v>
      </c>
      <c r="W35" s="256">
        <f>V35</f>
        <v>0</v>
      </c>
      <c r="X35" s="90"/>
      <c r="Y35" s="256" t="s">
        <v>25</v>
      </c>
      <c r="Z35" s="256">
        <f>T32</f>
        <v>0</v>
      </c>
      <c r="AA35" s="90" t="s">
        <v>27</v>
      </c>
      <c r="AB35" s="256">
        <f>AF4</f>
        <v>135</v>
      </c>
      <c r="AC35" s="97">
        <f>Z35/AB35</f>
        <v>0</v>
      </c>
      <c r="AD35" s="90"/>
      <c r="AE35" s="117"/>
      <c r="AF35" s="117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273"/>
      <c r="BE35" s="90"/>
      <c r="BF35" s="273"/>
      <c r="BG35" s="90"/>
      <c r="BH35" s="90"/>
      <c r="BI35" s="90"/>
      <c r="BJ35" s="90"/>
      <c r="BK35" s="90"/>
      <c r="BL35" s="90"/>
      <c r="BM35" s="90"/>
      <c r="BN35" s="90"/>
      <c r="BO35" s="90"/>
    </row>
    <row r="36" spans="1:86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15"/>
      <c r="Q36" s="94" t="s">
        <v>23</v>
      </c>
      <c r="R36" s="98"/>
      <c r="S36" s="98"/>
      <c r="T36" s="98"/>
      <c r="U36" s="98"/>
      <c r="V36" s="99">
        <f>Z33*Y27</f>
        <v>0</v>
      </c>
      <c r="W36" s="256">
        <f>V36</f>
        <v>0</v>
      </c>
      <c r="X36" s="98"/>
      <c r="Y36" s="99" t="s">
        <v>26</v>
      </c>
      <c r="Z36" s="256">
        <f>T33</f>
        <v>0</v>
      </c>
      <c r="AA36" s="90" t="s">
        <v>27</v>
      </c>
      <c r="AB36" s="99">
        <f>AG4</f>
        <v>135</v>
      </c>
      <c r="AC36" s="97">
        <f>Z36/AB36</f>
        <v>0</v>
      </c>
      <c r="AD36" s="98"/>
      <c r="AE36" s="118"/>
      <c r="AF36" s="117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90"/>
      <c r="AR36" s="98"/>
      <c r="AS36" s="98"/>
      <c r="AT36" s="98"/>
      <c r="AU36" s="98"/>
      <c r="AV36" s="98"/>
      <c r="AW36" s="98"/>
      <c r="AX36" s="99"/>
      <c r="AY36" s="98"/>
      <c r="AZ36" s="98"/>
      <c r="BA36" s="98"/>
      <c r="BB36" s="99"/>
      <c r="BC36" s="98"/>
      <c r="BD36" s="98"/>
      <c r="BE36" s="98"/>
      <c r="BF36" s="98"/>
      <c r="BG36" s="98"/>
      <c r="BH36" s="98"/>
      <c r="BI36" s="90"/>
      <c r="BJ36" s="90"/>
      <c r="BK36" s="90"/>
      <c r="BL36" s="90"/>
      <c r="BM36" s="90"/>
      <c r="BN36" s="90"/>
      <c r="BO36" s="90"/>
    </row>
    <row r="37" spans="1:86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15"/>
      <c r="Q37" s="92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Q37" s="98"/>
      <c r="AR37" s="90"/>
      <c r="AS37" s="90"/>
      <c r="AT37" s="90"/>
      <c r="AU37" s="90"/>
      <c r="AV37" s="90"/>
      <c r="AW37" s="90"/>
      <c r="AX37" s="90"/>
      <c r="AY37" s="90"/>
      <c r="AZ37" s="273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</row>
    <row r="38" spans="1:86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15"/>
      <c r="Q38" s="92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 t="s">
        <v>69</v>
      </c>
      <c r="AC38" s="100">
        <f>SUM(AC32:AC37)</f>
        <v>0</v>
      </c>
      <c r="AD38" s="90"/>
      <c r="AE38" s="117"/>
      <c r="AF38" s="117"/>
      <c r="AQ38" s="90"/>
      <c r="AR38" s="273"/>
      <c r="AS38" s="90"/>
      <c r="AT38" s="90"/>
      <c r="AU38" s="90"/>
      <c r="AV38" s="273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</row>
    <row r="39" spans="1:86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15"/>
      <c r="Q39" s="101"/>
      <c r="R39" s="102"/>
      <c r="S39" s="102"/>
      <c r="T39" s="102"/>
      <c r="U39" s="102" t="s">
        <v>69</v>
      </c>
      <c r="V39" s="103">
        <f>SUM(V31:V38)</f>
        <v>0</v>
      </c>
      <c r="W39" s="103">
        <f>SUM(W31:W38)</f>
        <v>0</v>
      </c>
      <c r="X39" s="102" t="s">
        <v>21</v>
      </c>
      <c r="Y39" s="102"/>
      <c r="Z39" s="102"/>
      <c r="AA39" s="102"/>
      <c r="AB39" s="102"/>
      <c r="AC39" s="102"/>
      <c r="AQ39" s="90"/>
      <c r="AR39" s="90"/>
      <c r="AS39" s="90"/>
      <c r="AT39" s="273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</row>
    <row r="40" spans="1:86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15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</row>
    <row r="41" spans="1:86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15"/>
      <c r="BG41" s="90"/>
      <c r="BH41" s="90"/>
      <c r="BI41" s="90"/>
      <c r="BJ41" s="90"/>
      <c r="BK41" s="90"/>
      <c r="BL41" s="90"/>
      <c r="BM41" s="90"/>
      <c r="BN41" s="90"/>
      <c r="BO41" s="90"/>
    </row>
    <row r="42" spans="1:86" ht="15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15"/>
      <c r="Q42" s="69" t="s">
        <v>87</v>
      </c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257"/>
      <c r="AF42" s="257"/>
      <c r="BG42" s="90"/>
      <c r="BH42" s="90"/>
      <c r="BI42" s="90"/>
      <c r="BJ42" s="90"/>
      <c r="BK42" s="90"/>
      <c r="BL42" s="90"/>
      <c r="BM42" s="90"/>
      <c r="BN42" s="90"/>
      <c r="BO42" s="90"/>
    </row>
    <row r="43" spans="1:86" ht="15.75" thickBot="1" x14ac:dyDescent="0.3">
      <c r="A43" s="17"/>
      <c r="B43" s="293" t="s">
        <v>20</v>
      </c>
      <c r="C43" s="40">
        <v>0</v>
      </c>
      <c r="D43" s="17" t="s">
        <v>21</v>
      </c>
      <c r="E43" s="49" t="str">
        <f>IF(C43&gt;$AB$4*$Q$23,"Too much"," ")</f>
        <v xml:space="preserve"> </v>
      </c>
      <c r="F43" s="17"/>
      <c r="G43" s="17"/>
      <c r="H43" s="373" t="str">
        <f>IF(T23=2," ","Orientation of carriage")</f>
        <v>Orientation of carriage</v>
      </c>
      <c r="I43" s="17"/>
      <c r="J43" s="17"/>
      <c r="K43" s="115"/>
      <c r="Q43" s="71" t="s">
        <v>66</v>
      </c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3" t="s">
        <v>72</v>
      </c>
      <c r="AC43" s="72"/>
      <c r="AD43" s="72"/>
      <c r="AE43" s="467"/>
      <c r="AF43" s="473"/>
      <c r="BG43" s="90"/>
      <c r="BH43" s="90"/>
      <c r="BI43" s="90"/>
      <c r="BJ43" s="90"/>
      <c r="BK43" s="90"/>
      <c r="BL43" s="90"/>
      <c r="BM43" s="90"/>
      <c r="BN43" s="90"/>
      <c r="BO43" s="90"/>
    </row>
    <row r="44" spans="1:86" ht="15" x14ac:dyDescent="0.25">
      <c r="A44" s="17"/>
      <c r="B44" s="293" t="s">
        <v>22</v>
      </c>
      <c r="C44" s="40">
        <v>0</v>
      </c>
      <c r="D44" s="17" t="s">
        <v>21</v>
      </c>
      <c r="E44" s="49" t="str">
        <f>IF(C44&gt;AC4*$Q$23,"Too much"," ")</f>
        <v xml:space="preserve"> </v>
      </c>
      <c r="F44" s="17"/>
      <c r="G44" s="17"/>
      <c r="H44" s="17"/>
      <c r="I44" s="17"/>
      <c r="J44" s="17"/>
      <c r="K44" s="115"/>
      <c r="Q44" s="74"/>
      <c r="R44" s="72" t="s">
        <v>67</v>
      </c>
      <c r="S44" s="72" t="s">
        <v>68</v>
      </c>
      <c r="T44" s="72" t="s">
        <v>69</v>
      </c>
      <c r="U44" s="72"/>
      <c r="V44" s="72" t="s">
        <v>71</v>
      </c>
      <c r="W44" s="72"/>
      <c r="X44" s="72"/>
      <c r="Y44" s="75" t="s">
        <v>69</v>
      </c>
      <c r="Z44" s="72"/>
      <c r="AA44" s="72"/>
      <c r="AB44" s="73" t="s">
        <v>73</v>
      </c>
      <c r="AC44" s="72" t="s">
        <v>74</v>
      </c>
      <c r="AD44" s="72"/>
      <c r="AE44" s="257"/>
      <c r="AF44" s="257"/>
      <c r="BG44" s="90"/>
      <c r="BH44" s="90"/>
      <c r="BI44" s="90"/>
      <c r="BJ44" s="90"/>
      <c r="BK44" s="90"/>
      <c r="BL44" s="90"/>
      <c r="BM44" s="90"/>
      <c r="BN44" s="90"/>
      <c r="BO44" s="90"/>
      <c r="CB44" s="259"/>
      <c r="CC44" s="260"/>
      <c r="CD44" s="260"/>
      <c r="CE44" s="260"/>
      <c r="CF44" s="260"/>
      <c r="CG44" s="260"/>
      <c r="CH44" s="261"/>
    </row>
    <row r="45" spans="1:86" ht="15" x14ac:dyDescent="0.25">
      <c r="A45" s="17"/>
      <c r="B45" s="293" t="s">
        <v>23</v>
      </c>
      <c r="C45" s="40">
        <v>0</v>
      </c>
      <c r="D45" s="17" t="s">
        <v>21</v>
      </c>
      <c r="E45" s="49" t="str">
        <f>IF(C45&gt;AD4*$Q$23,"Too much"," ")</f>
        <v xml:space="preserve"> </v>
      </c>
      <c r="F45" s="17"/>
      <c r="G45" s="17"/>
      <c r="H45" s="17"/>
      <c r="I45" s="17"/>
      <c r="J45" s="17"/>
      <c r="K45" s="115"/>
      <c r="Q45" s="76" t="s">
        <v>24</v>
      </c>
      <c r="R45" s="73">
        <v>0</v>
      </c>
      <c r="S45" s="73">
        <v>0</v>
      </c>
      <c r="T45" s="73">
        <v>0</v>
      </c>
      <c r="U45" s="72" t="s">
        <v>27</v>
      </c>
      <c r="V45" s="77">
        <v>0</v>
      </c>
      <c r="W45" s="73">
        <v>0</v>
      </c>
      <c r="X45" s="72"/>
      <c r="Y45" s="73" t="s">
        <v>20</v>
      </c>
      <c r="Z45" s="78">
        <f>C43+T47/D22*1000+(C49+AM4*2)*C53+V53+AP4*2*S16+V46/D22*1000*2</f>
        <v>53.4</v>
      </c>
      <c r="AA45" s="72" t="s">
        <v>21</v>
      </c>
      <c r="AB45" s="73">
        <f>2*AB4</f>
        <v>2460</v>
      </c>
      <c r="AC45" s="72"/>
      <c r="AD45" s="72"/>
      <c r="AH45" s="66">
        <f>Z45*(D22/2+M52)/D22</f>
        <v>26.7</v>
      </c>
      <c r="AI45" s="66">
        <f>C43+T47/D22*1000+W53+AP4*2*S16+V46/D22*1000*2</f>
        <v>45</v>
      </c>
      <c r="BG45" s="90"/>
      <c r="BH45" s="90"/>
      <c r="BI45" s="90"/>
      <c r="BJ45" s="90"/>
      <c r="BK45" s="90"/>
      <c r="BL45" s="90"/>
      <c r="BM45" s="90"/>
      <c r="BN45" s="90"/>
      <c r="BO45" s="90"/>
      <c r="CB45" s="262" t="s">
        <v>372</v>
      </c>
      <c r="CC45" s="263"/>
      <c r="CD45" s="263"/>
      <c r="CE45" s="263"/>
      <c r="CF45" s="263"/>
      <c r="CG45" s="263"/>
      <c r="CH45" s="264"/>
    </row>
    <row r="46" spans="1:86" ht="15" x14ac:dyDescent="0.25">
      <c r="A46" s="17"/>
      <c r="B46" s="293" t="s">
        <v>24</v>
      </c>
      <c r="C46" s="40">
        <v>0</v>
      </c>
      <c r="D46" s="17" t="s">
        <v>27</v>
      </c>
      <c r="E46" s="49" t="str">
        <f>IF(Q23=2," ",IF(C46&gt;AE4,"Too much"," "))</f>
        <v xml:space="preserve"> </v>
      </c>
      <c r="F46" s="17"/>
      <c r="G46" s="17"/>
      <c r="H46" s="17"/>
      <c r="I46" s="17"/>
      <c r="J46" s="17"/>
      <c r="K46" s="115"/>
      <c r="Q46" s="76" t="s">
        <v>25</v>
      </c>
      <c r="R46" s="73">
        <f>C49*10*M51/1000</f>
        <v>0</v>
      </c>
      <c r="S46" s="73">
        <f>C49*C53*M53/1000</f>
        <v>0</v>
      </c>
      <c r="T46" s="73">
        <f>Y16*R46+S46+C47</f>
        <v>0</v>
      </c>
      <c r="U46" s="72" t="s">
        <v>27</v>
      </c>
      <c r="V46" s="77">
        <f>IF(AF23=1,AK18*T46,T46/U16*1000*Y27)</f>
        <v>0</v>
      </c>
      <c r="W46" s="73">
        <f>IF(AF23=1,AK18*(T46-S46),(T46-S46)/U16*1000*Y27)</f>
        <v>0</v>
      </c>
      <c r="X46" s="72"/>
      <c r="Y46" s="73" t="s">
        <v>22</v>
      </c>
      <c r="Z46" s="73">
        <f>C44</f>
        <v>0</v>
      </c>
      <c r="AA46" s="72" t="s">
        <v>21</v>
      </c>
      <c r="AB46" s="73">
        <f>AC4*1</f>
        <v>2100</v>
      </c>
      <c r="AC46" s="79">
        <f>Z46/AB46</f>
        <v>0</v>
      </c>
      <c r="AD46" s="72"/>
      <c r="BG46" s="90"/>
      <c r="BH46" s="90"/>
      <c r="BI46" s="90"/>
      <c r="BJ46" s="90"/>
      <c r="BK46" s="90"/>
      <c r="BL46" s="90"/>
      <c r="BM46" s="90"/>
      <c r="BN46" s="90"/>
      <c r="BO46" s="90"/>
      <c r="CB46" s="265" t="s">
        <v>373</v>
      </c>
      <c r="CC46" s="263"/>
      <c r="CD46" s="263"/>
      <c r="CE46" s="263"/>
      <c r="CF46" s="263"/>
      <c r="CG46" s="263"/>
      <c r="CH46" s="264"/>
    </row>
    <row r="47" spans="1:86" ht="15" x14ac:dyDescent="0.25">
      <c r="A47" s="17"/>
      <c r="B47" s="293" t="s">
        <v>25</v>
      </c>
      <c r="C47" s="40">
        <v>0</v>
      </c>
      <c r="D47" s="17" t="s">
        <v>27</v>
      </c>
      <c r="E47" s="49" t="str">
        <f>IF(C47&gt;AF4*$Q$23,"Too much"," ")</f>
        <v xml:space="preserve"> </v>
      </c>
      <c r="F47" s="17"/>
      <c r="G47" s="17"/>
      <c r="H47" s="17"/>
      <c r="I47" s="17"/>
      <c r="J47" s="17"/>
      <c r="K47" s="115"/>
      <c r="Q47" s="76" t="s">
        <v>26</v>
      </c>
      <c r="R47" s="73">
        <v>0</v>
      </c>
      <c r="S47" s="73">
        <f>C49*C53*M52/1000</f>
        <v>0</v>
      </c>
      <c r="T47" s="73">
        <f>Y16*R47+S47+C48</f>
        <v>0</v>
      </c>
      <c r="U47" s="72" t="s">
        <v>27</v>
      </c>
      <c r="V47" s="77">
        <v>0</v>
      </c>
      <c r="W47" s="73">
        <v>0</v>
      </c>
      <c r="X47" s="72"/>
      <c r="Y47" s="73" t="s">
        <v>23</v>
      </c>
      <c r="Z47" s="73">
        <f>C45+C49*10*Y16+C46/D22*1000*2</f>
        <v>0</v>
      </c>
      <c r="AA47" s="72" t="s">
        <v>21</v>
      </c>
      <c r="AB47" s="73">
        <f>AD4*2</f>
        <v>4200</v>
      </c>
      <c r="AC47" s="79">
        <f>Z47/AB47</f>
        <v>0</v>
      </c>
      <c r="AD47" s="72"/>
      <c r="AE47" s="173"/>
      <c r="AJ47" s="172"/>
      <c r="BG47" s="90"/>
      <c r="BH47" s="90"/>
      <c r="BI47" s="90"/>
      <c r="BJ47" s="90"/>
      <c r="BK47" s="90"/>
      <c r="BL47" s="90"/>
      <c r="BM47" s="90"/>
      <c r="BN47" s="90"/>
      <c r="BO47" s="90"/>
      <c r="CB47" s="265" t="s">
        <v>374</v>
      </c>
      <c r="CC47" s="263"/>
      <c r="CD47" s="263"/>
      <c r="CE47" s="263"/>
      <c r="CF47" s="263"/>
      <c r="CG47" s="263"/>
      <c r="CH47" s="264"/>
    </row>
    <row r="48" spans="1:86" ht="15.75" thickBot="1" x14ac:dyDescent="0.3">
      <c r="A48" s="17"/>
      <c r="B48" s="293" t="s">
        <v>26</v>
      </c>
      <c r="C48" s="40">
        <v>0</v>
      </c>
      <c r="D48" s="17" t="s">
        <v>27</v>
      </c>
      <c r="E48" s="49" t="str">
        <f>IF(Q23=2," ",IF(C48&gt;$AG$4,"Too much"," "))</f>
        <v xml:space="preserve"> </v>
      </c>
      <c r="F48" s="17"/>
      <c r="G48" s="17"/>
      <c r="H48" s="17"/>
      <c r="I48" s="17"/>
      <c r="J48" s="17"/>
      <c r="K48" s="115"/>
      <c r="Q48" s="76"/>
      <c r="R48" s="72"/>
      <c r="S48" s="72"/>
      <c r="T48" s="72"/>
      <c r="U48" s="72"/>
      <c r="V48" s="72"/>
      <c r="W48" s="73"/>
      <c r="X48" s="72"/>
      <c r="Y48" s="73" t="s">
        <v>24</v>
      </c>
      <c r="Z48" s="73">
        <f>T45</f>
        <v>0</v>
      </c>
      <c r="AA48" s="72" t="s">
        <v>27</v>
      </c>
      <c r="AB48" s="73"/>
      <c r="AC48" s="79"/>
      <c r="AE48" s="119" t="s">
        <v>84</v>
      </c>
      <c r="BG48" s="90"/>
      <c r="BH48" s="90"/>
      <c r="BI48" s="90"/>
      <c r="BJ48" s="90"/>
      <c r="BK48" s="90"/>
      <c r="BL48" s="90"/>
      <c r="BM48" s="90"/>
      <c r="BN48" s="90"/>
      <c r="BO48" s="90"/>
      <c r="CB48" s="266"/>
      <c r="CC48" s="267"/>
      <c r="CD48" s="267"/>
      <c r="CE48" s="267"/>
      <c r="CF48" s="267"/>
      <c r="CG48" s="267"/>
      <c r="CH48" s="268"/>
    </row>
    <row r="49" spans="1:67" ht="15" x14ac:dyDescent="0.25">
      <c r="A49" s="17"/>
      <c r="B49" s="23" t="s">
        <v>28</v>
      </c>
      <c r="C49" s="40">
        <v>0</v>
      </c>
      <c r="D49" s="17" t="s">
        <v>370</v>
      </c>
      <c r="E49" s="17"/>
      <c r="F49" s="17"/>
      <c r="G49" s="17"/>
      <c r="H49" s="293" t="s">
        <v>29</v>
      </c>
      <c r="I49" s="40">
        <v>0</v>
      </c>
      <c r="J49" s="17" t="s">
        <v>10</v>
      </c>
      <c r="K49" s="115"/>
      <c r="Q49" s="76" t="s">
        <v>22</v>
      </c>
      <c r="R49" s="72"/>
      <c r="S49" s="72"/>
      <c r="T49" s="72"/>
      <c r="U49" s="72"/>
      <c r="V49" s="73">
        <f>C44*Y27</f>
        <v>0</v>
      </c>
      <c r="W49" s="73">
        <f>V49</f>
        <v>0</v>
      </c>
      <c r="X49" s="72"/>
      <c r="Y49" s="73" t="s">
        <v>25</v>
      </c>
      <c r="Z49" s="73">
        <f>T46</f>
        <v>0</v>
      </c>
      <c r="AA49" s="72" t="s">
        <v>27</v>
      </c>
      <c r="AB49" s="73">
        <f>AF4*2</f>
        <v>270</v>
      </c>
      <c r="AC49" s="79">
        <f>Z49/AB49</f>
        <v>0</v>
      </c>
      <c r="AD49" s="72"/>
      <c r="AE49" s="126"/>
      <c r="AH49" s="50"/>
      <c r="BG49" s="90"/>
      <c r="BH49" s="90"/>
      <c r="BI49" s="90"/>
      <c r="BJ49" s="90"/>
      <c r="BK49" s="90"/>
      <c r="BL49" s="90"/>
      <c r="BM49" s="90"/>
      <c r="BN49" s="90"/>
      <c r="BO49" s="90"/>
    </row>
    <row r="50" spans="1:67" x14ac:dyDescent="0.2">
      <c r="A50" s="17" t="s">
        <v>75</v>
      </c>
      <c r="B50" s="17"/>
      <c r="C50" s="17"/>
      <c r="D50" s="17"/>
      <c r="E50" s="17"/>
      <c r="F50" s="17"/>
      <c r="G50" s="17"/>
      <c r="H50" s="293" t="s">
        <v>30</v>
      </c>
      <c r="I50" s="40">
        <v>0</v>
      </c>
      <c r="J50" s="17" t="s">
        <v>10</v>
      </c>
      <c r="K50" s="115"/>
      <c r="M50" s="257" t="s">
        <v>226</v>
      </c>
      <c r="Q50" s="76" t="s">
        <v>23</v>
      </c>
      <c r="R50" s="80"/>
      <c r="S50" s="80"/>
      <c r="T50" s="80"/>
      <c r="U50" s="80"/>
      <c r="V50" s="81">
        <f>(C49*10*Y16+C45)*Y27</f>
        <v>0</v>
      </c>
      <c r="W50" s="73">
        <f>V50</f>
        <v>0</v>
      </c>
      <c r="X50" s="80"/>
      <c r="Y50" s="82" t="s">
        <v>26</v>
      </c>
      <c r="Z50" s="73">
        <f>T47</f>
        <v>0</v>
      </c>
      <c r="AA50" s="72" t="s">
        <v>27</v>
      </c>
      <c r="AB50" s="82"/>
      <c r="AC50" s="79"/>
      <c r="AE50" s="119" t="s">
        <v>83</v>
      </c>
      <c r="BG50" s="90"/>
      <c r="BH50" s="90"/>
      <c r="BI50" s="90"/>
      <c r="BJ50" s="90"/>
      <c r="BK50" s="90"/>
      <c r="BL50" s="90"/>
      <c r="BM50" s="90"/>
      <c r="BN50" s="90"/>
      <c r="BO50" s="90"/>
    </row>
    <row r="51" spans="1:67" x14ac:dyDescent="0.2">
      <c r="A51" s="17"/>
      <c r="B51" s="17"/>
      <c r="C51" s="17"/>
      <c r="D51" s="17"/>
      <c r="E51" s="17"/>
      <c r="F51" s="17"/>
      <c r="G51" s="17"/>
      <c r="H51" s="293" t="s">
        <v>31</v>
      </c>
      <c r="I51" s="40">
        <v>0</v>
      </c>
      <c r="J51" s="17" t="s">
        <v>10</v>
      </c>
      <c r="K51" s="115"/>
      <c r="M51" s="178">
        <f>ABS(I49)</f>
        <v>0</v>
      </c>
      <c r="O51" s="68"/>
      <c r="P51" s="68"/>
      <c r="Q51" s="74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BG51" s="90"/>
      <c r="BH51" s="90"/>
      <c r="BI51" s="90"/>
      <c r="BJ51" s="90"/>
      <c r="BK51" s="90"/>
      <c r="BL51" s="90"/>
      <c r="BM51" s="90"/>
      <c r="BN51" s="90"/>
      <c r="BO51" s="90"/>
    </row>
    <row r="52" spans="1:67" ht="15" x14ac:dyDescent="0.25">
      <c r="A52" s="17"/>
      <c r="B52" s="23" t="s">
        <v>32</v>
      </c>
      <c r="C52" s="40">
        <v>1.5</v>
      </c>
      <c r="D52" s="17" t="s">
        <v>34</v>
      </c>
      <c r="E52" s="49" t="str">
        <f>IF(C52&gt;AJ4,"Too high speed"," ")</f>
        <v xml:space="preserve"> </v>
      </c>
      <c r="F52" s="17"/>
      <c r="G52" s="17"/>
      <c r="H52" s="17"/>
      <c r="I52" s="17"/>
      <c r="J52" s="17"/>
      <c r="K52" s="115"/>
      <c r="M52" s="178">
        <f>ABS(I50)</f>
        <v>0</v>
      </c>
      <c r="O52" s="68"/>
      <c r="P52" s="68"/>
      <c r="Q52" s="74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 t="s">
        <v>69</v>
      </c>
      <c r="AC52" s="83">
        <f>SUM(AC46:AC51)</f>
        <v>0</v>
      </c>
      <c r="AD52" s="72"/>
      <c r="AE52" s="117"/>
      <c r="BG52" s="90"/>
      <c r="BH52" s="90"/>
      <c r="BI52" s="90"/>
      <c r="BJ52" s="90"/>
      <c r="BK52" s="90"/>
      <c r="BL52" s="90"/>
      <c r="BM52" s="90"/>
      <c r="BN52" s="90"/>
      <c r="BO52" s="90"/>
    </row>
    <row r="53" spans="1:67" ht="15" x14ac:dyDescent="0.25">
      <c r="A53" s="17"/>
      <c r="B53" s="23" t="s">
        <v>33</v>
      </c>
      <c r="C53" s="40">
        <v>2</v>
      </c>
      <c r="D53" s="17" t="s">
        <v>35</v>
      </c>
      <c r="E53" s="49" t="str">
        <f>IF(C53&gt;40,"Too high acceleration"," ")</f>
        <v xml:space="preserve"> </v>
      </c>
      <c r="F53" s="17"/>
      <c r="G53" s="17"/>
      <c r="H53" s="17"/>
      <c r="I53" s="17"/>
      <c r="J53" s="17"/>
      <c r="K53" s="115"/>
      <c r="M53" s="178">
        <f>ABS(I51)</f>
        <v>0</v>
      </c>
      <c r="O53" s="68"/>
      <c r="P53" s="68"/>
      <c r="Q53" s="84"/>
      <c r="R53" s="85"/>
      <c r="S53" s="85"/>
      <c r="T53" s="85"/>
      <c r="U53" s="85" t="s">
        <v>69</v>
      </c>
      <c r="V53" s="86">
        <f>SUM(V45:V52)</f>
        <v>0</v>
      </c>
      <c r="W53" s="86">
        <f>SUM(W45:W52)</f>
        <v>0</v>
      </c>
      <c r="X53" s="85" t="s">
        <v>21</v>
      </c>
      <c r="Y53" s="85"/>
      <c r="Z53" s="85"/>
      <c r="AA53" s="85"/>
      <c r="AB53" s="85"/>
      <c r="AC53" s="85"/>
      <c r="BG53" s="90"/>
      <c r="BH53" s="90"/>
      <c r="BI53" s="90"/>
      <c r="BJ53" s="90"/>
      <c r="BK53" s="90"/>
      <c r="BL53" s="90"/>
      <c r="BM53" s="90"/>
      <c r="BN53" s="90"/>
      <c r="BO53" s="90"/>
    </row>
    <row r="54" spans="1:67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15"/>
      <c r="O54" s="68"/>
      <c r="P54" s="68"/>
      <c r="BG54" s="90"/>
      <c r="BH54" s="90"/>
      <c r="BI54" s="90"/>
      <c r="BJ54" s="90"/>
      <c r="BK54" s="90"/>
      <c r="BL54" s="90"/>
      <c r="BM54" s="90"/>
      <c r="BN54" s="90"/>
      <c r="BO54" s="90"/>
    </row>
    <row r="55" spans="1:67" ht="15" x14ac:dyDescent="0.25">
      <c r="A55" s="17" t="s">
        <v>49</v>
      </c>
      <c r="B55" s="17"/>
      <c r="C55" s="40">
        <v>1800</v>
      </c>
      <c r="D55" s="17" t="s">
        <v>50</v>
      </c>
      <c r="E55" s="17"/>
      <c r="F55" s="49" t="str">
        <f>IF(C55&gt;C19,"This is longer than stroke of unit !"," ")</f>
        <v xml:space="preserve"> </v>
      </c>
      <c r="G55" s="17"/>
      <c r="H55" s="17"/>
      <c r="I55" s="17"/>
      <c r="J55" s="17"/>
      <c r="K55" s="115"/>
      <c r="O55" s="68"/>
      <c r="P55" s="68"/>
      <c r="Q55" s="87" t="s">
        <v>85</v>
      </c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257"/>
      <c r="AF55" s="257"/>
      <c r="BG55" s="90"/>
      <c r="BH55" s="90"/>
      <c r="BI55" s="90"/>
      <c r="BJ55" s="90"/>
      <c r="BK55" s="90"/>
      <c r="BL55" s="90"/>
      <c r="BM55" s="90"/>
      <c r="BN55" s="90"/>
      <c r="BO55" s="90"/>
    </row>
    <row r="56" spans="1:67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15"/>
      <c r="O56" s="68"/>
      <c r="P56" s="68"/>
      <c r="Q56" s="89" t="s">
        <v>66</v>
      </c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256" t="s">
        <v>72</v>
      </c>
      <c r="AC56" s="90"/>
      <c r="AD56" s="90"/>
      <c r="AE56" s="467"/>
      <c r="AF56" s="473"/>
    </row>
    <row r="57" spans="1:67" ht="15" x14ac:dyDescent="0.25">
      <c r="A57" s="17" t="s">
        <v>51</v>
      </c>
      <c r="B57" s="17"/>
      <c r="C57" s="17"/>
      <c r="D57" s="17"/>
      <c r="E57" s="17"/>
      <c r="F57" s="17"/>
      <c r="G57" s="17"/>
      <c r="H57" s="17"/>
      <c r="I57" s="17"/>
      <c r="J57" s="17"/>
      <c r="K57" s="115"/>
      <c r="O57" s="68"/>
      <c r="P57" s="68"/>
      <c r="Q57" s="92"/>
      <c r="R57" s="90" t="s">
        <v>67</v>
      </c>
      <c r="S57" s="90" t="s">
        <v>68</v>
      </c>
      <c r="T57" s="90" t="s">
        <v>69</v>
      </c>
      <c r="U57" s="90"/>
      <c r="V57" s="90" t="s">
        <v>71</v>
      </c>
      <c r="W57" s="90"/>
      <c r="X57" s="90"/>
      <c r="Y57" s="93" t="s">
        <v>69</v>
      </c>
      <c r="Z57" s="90"/>
      <c r="AA57" s="90"/>
      <c r="AB57" s="256" t="s">
        <v>73</v>
      </c>
      <c r="AC57" s="90" t="s">
        <v>74</v>
      </c>
      <c r="AD57" s="90"/>
      <c r="AE57" s="257"/>
      <c r="AF57" s="257"/>
    </row>
    <row r="58" spans="1:67" ht="15" x14ac:dyDescent="0.25">
      <c r="A58" s="17"/>
      <c r="B58" s="17"/>
      <c r="C58" s="65">
        <f>Blad2!C32</f>
        <v>1.95</v>
      </c>
      <c r="D58" s="17" t="s">
        <v>52</v>
      </c>
      <c r="E58" s="17"/>
      <c r="F58" s="17"/>
      <c r="G58" s="17"/>
      <c r="H58" s="17"/>
      <c r="I58" s="17"/>
      <c r="J58" s="17"/>
      <c r="K58" s="115"/>
      <c r="O58" s="68"/>
      <c r="P58" s="68"/>
      <c r="Q58" s="94" t="s">
        <v>24</v>
      </c>
      <c r="R58" s="256">
        <f>C49*10*M53/1000</f>
        <v>0</v>
      </c>
      <c r="S58" s="256">
        <v>0</v>
      </c>
      <c r="T58" s="256">
        <f>Y16*R58+C46</f>
        <v>0</v>
      </c>
      <c r="U58" s="90" t="s">
        <v>27</v>
      </c>
      <c r="V58" s="95">
        <f>T58/AR4*1000*Y27</f>
        <v>0</v>
      </c>
      <c r="W58" s="95">
        <f>V58</f>
        <v>0</v>
      </c>
      <c r="X58" s="90"/>
      <c r="Y58" s="256" t="s">
        <v>20</v>
      </c>
      <c r="Z58" s="96">
        <f>C43+(C49+AM4)*C53+AP4*S16+V66</f>
        <v>26.7</v>
      </c>
      <c r="AA58" s="90" t="s">
        <v>21</v>
      </c>
      <c r="AB58" s="256">
        <f>AB4</f>
        <v>1230</v>
      </c>
      <c r="AC58" s="90"/>
      <c r="AD58" s="90"/>
      <c r="AF58" s="117"/>
      <c r="AH58" s="66">
        <f>Z58</f>
        <v>26.7</v>
      </c>
      <c r="AI58" s="66">
        <f>C43+AP4*S16+W66</f>
        <v>22.5</v>
      </c>
    </row>
    <row r="59" spans="1:67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15"/>
      <c r="O59" s="68"/>
      <c r="P59" s="68"/>
      <c r="Q59" s="94" t="s">
        <v>25</v>
      </c>
      <c r="R59" s="256">
        <v>0</v>
      </c>
      <c r="S59" s="256">
        <f>C49*C53*M53/1000</f>
        <v>0</v>
      </c>
      <c r="T59" s="256">
        <f>S59+C47</f>
        <v>0</v>
      </c>
      <c r="U59" s="90" t="s">
        <v>27</v>
      </c>
      <c r="V59" s="95">
        <f>IF(AF23=1,AK18*T59,T59/U16*1000*Y27)</f>
        <v>0</v>
      </c>
      <c r="W59" s="95">
        <f>IF(AF23=1,AK18*(T59-S59),(T59-S59)/U16*1000*Y27)</f>
        <v>0</v>
      </c>
      <c r="X59" s="90"/>
      <c r="Y59" s="256" t="s">
        <v>22</v>
      </c>
      <c r="Z59" s="256">
        <f>C44+Y16*C49*10</f>
        <v>0</v>
      </c>
      <c r="AA59" s="90" t="s">
        <v>21</v>
      </c>
      <c r="AB59" s="256">
        <f>AC4</f>
        <v>2100</v>
      </c>
      <c r="AC59" s="97">
        <f>Z59/AB59</f>
        <v>0</v>
      </c>
      <c r="AD59" s="90"/>
      <c r="AF59" s="117"/>
    </row>
    <row r="60" spans="1:67" ht="15" x14ac:dyDescent="0.25">
      <c r="A60" s="49" t="str">
        <f>Blad2!A35</f>
        <v xml:space="preserve"> </v>
      </c>
      <c r="B60" s="49"/>
      <c r="C60" s="49"/>
      <c r="D60" s="49"/>
      <c r="E60" s="17"/>
      <c r="F60" s="17"/>
      <c r="G60" s="17"/>
      <c r="H60" s="17"/>
      <c r="I60" s="17"/>
      <c r="J60" s="17"/>
      <c r="K60" s="115"/>
      <c r="O60" s="68"/>
      <c r="P60" s="68"/>
      <c r="Q60" s="94" t="s">
        <v>26</v>
      </c>
      <c r="R60" s="256">
        <f>C49*10*M51/1000</f>
        <v>0</v>
      </c>
      <c r="S60" s="256">
        <f>C49*C53*M52/1000</f>
        <v>0</v>
      </c>
      <c r="T60" s="256">
        <f>Y16*R60+S60+C48</f>
        <v>0</v>
      </c>
      <c r="U60" s="90" t="s">
        <v>27</v>
      </c>
      <c r="V60" s="95">
        <f>IF(AF23=1,AK18*T60,T60/AQ4*1000*Y27)</f>
        <v>0</v>
      </c>
      <c r="W60" s="95">
        <f>IF(AF23=1,AK18*(T60-S60),(T60-S60)/AQ4*1000*Y27)</f>
        <v>0</v>
      </c>
      <c r="X60" s="90"/>
      <c r="Y60" s="256" t="s">
        <v>23</v>
      </c>
      <c r="Z60" s="256">
        <f>C45</f>
        <v>0</v>
      </c>
      <c r="AA60" s="90" t="s">
        <v>21</v>
      </c>
      <c r="AB60" s="256">
        <f>AD4</f>
        <v>2100</v>
      </c>
      <c r="AC60" s="97">
        <f>Z60/AB60</f>
        <v>0</v>
      </c>
      <c r="AD60" s="90"/>
      <c r="AE60" s="117"/>
      <c r="AF60" s="117"/>
    </row>
    <row r="61" spans="1:67" ht="15" x14ac:dyDescent="0.25">
      <c r="A61" s="49" t="str">
        <f>Blad2!A36</f>
        <v xml:space="preserve"> </v>
      </c>
      <c r="B61" s="49"/>
      <c r="C61" s="401" t="str">
        <f>Blad2!C36</f>
        <v xml:space="preserve"> </v>
      </c>
      <c r="D61" s="402" t="str">
        <f>Blad2!D36</f>
        <v xml:space="preserve"> </v>
      </c>
      <c r="E61" s="17"/>
      <c r="F61" s="17"/>
      <c r="G61" s="17"/>
      <c r="H61" s="17"/>
      <c r="I61" s="17"/>
      <c r="J61" s="17"/>
      <c r="K61" s="115"/>
      <c r="O61" s="68"/>
      <c r="P61" s="68"/>
      <c r="Q61" s="94"/>
      <c r="R61" s="90"/>
      <c r="S61" s="90"/>
      <c r="T61" s="90"/>
      <c r="U61" s="90"/>
      <c r="V61" s="90"/>
      <c r="W61" s="90"/>
      <c r="X61" s="90"/>
      <c r="Y61" s="256" t="s">
        <v>24</v>
      </c>
      <c r="Z61" s="256">
        <f>T58</f>
        <v>0</v>
      </c>
      <c r="AA61" s="90" t="s">
        <v>27</v>
      </c>
      <c r="AB61" s="256">
        <f>AE4</f>
        <v>68</v>
      </c>
      <c r="AC61" s="97">
        <f>Z61/AB61</f>
        <v>0</v>
      </c>
      <c r="AD61" s="90"/>
      <c r="AE61" s="117"/>
      <c r="AF61" s="117"/>
    </row>
    <row r="62" spans="1:67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15"/>
      <c r="O62" s="68"/>
      <c r="P62" s="68"/>
      <c r="Q62" s="94" t="s">
        <v>22</v>
      </c>
      <c r="R62" s="90"/>
      <c r="S62" s="90"/>
      <c r="T62" s="90"/>
      <c r="U62" s="90"/>
      <c r="V62" s="256">
        <f>Z59*Y27</f>
        <v>0</v>
      </c>
      <c r="W62" s="256">
        <f>V62</f>
        <v>0</v>
      </c>
      <c r="X62" s="90"/>
      <c r="Y62" s="256" t="s">
        <v>25</v>
      </c>
      <c r="Z62" s="256">
        <f>T59</f>
        <v>0</v>
      </c>
      <c r="AA62" s="90" t="s">
        <v>27</v>
      </c>
      <c r="AB62" s="256">
        <f>AF4</f>
        <v>135</v>
      </c>
      <c r="AC62" s="97">
        <f>Z62/AB62</f>
        <v>0</v>
      </c>
      <c r="AD62" s="90"/>
      <c r="AE62" s="117"/>
      <c r="AF62" s="117"/>
    </row>
    <row r="63" spans="1:67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15"/>
      <c r="O63" s="68"/>
      <c r="P63" s="68"/>
      <c r="Q63" s="94" t="s">
        <v>23</v>
      </c>
      <c r="R63" s="98"/>
      <c r="S63" s="98"/>
      <c r="T63" s="98"/>
      <c r="U63" s="98"/>
      <c r="V63" s="99">
        <f>C45*Y27</f>
        <v>0</v>
      </c>
      <c r="W63" s="256">
        <f>V63</f>
        <v>0</v>
      </c>
      <c r="X63" s="98"/>
      <c r="Y63" s="99" t="s">
        <v>26</v>
      </c>
      <c r="Z63" s="256">
        <f>T60</f>
        <v>0</v>
      </c>
      <c r="AA63" s="90" t="s">
        <v>27</v>
      </c>
      <c r="AB63" s="99">
        <f>AG4</f>
        <v>135</v>
      </c>
      <c r="AC63" s="97">
        <f>Z63/AB63</f>
        <v>0</v>
      </c>
      <c r="AD63" s="98"/>
      <c r="AF63" s="117"/>
    </row>
    <row r="64" spans="1:67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15"/>
      <c r="O64" s="68"/>
      <c r="P64" s="68"/>
      <c r="Q64" s="92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</row>
    <row r="65" spans="1:35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15"/>
      <c r="O65" s="68"/>
      <c r="P65" s="68"/>
      <c r="Q65" s="92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 t="s">
        <v>69</v>
      </c>
      <c r="AC65" s="100">
        <f>SUM(AC59:AC64)</f>
        <v>0</v>
      </c>
      <c r="AD65" s="90"/>
      <c r="AE65" s="117"/>
      <c r="AF65" s="117"/>
    </row>
    <row r="66" spans="1:35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15"/>
      <c r="P66" s="68"/>
      <c r="Q66" s="101"/>
      <c r="R66" s="102"/>
      <c r="S66" s="102"/>
      <c r="T66" s="102"/>
      <c r="U66" s="102" t="s">
        <v>69</v>
      </c>
      <c r="V66" s="103">
        <f>SUM(V58:V65)</f>
        <v>0</v>
      </c>
      <c r="W66" s="103">
        <f>SUM(W58:W65)</f>
        <v>0</v>
      </c>
      <c r="X66" s="102" t="s">
        <v>21</v>
      </c>
      <c r="Y66" s="102"/>
      <c r="Z66" s="102"/>
      <c r="AA66" s="102"/>
      <c r="AB66" s="102"/>
      <c r="AC66" s="102"/>
    </row>
    <row r="67" spans="1:35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15"/>
      <c r="P67" s="68"/>
    </row>
    <row r="68" spans="1:35" ht="15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15"/>
      <c r="P68" s="68"/>
      <c r="Q68" s="87" t="s">
        <v>86</v>
      </c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257"/>
      <c r="AF68" s="257"/>
      <c r="AH68" s="133"/>
      <c r="AI68" s="68"/>
    </row>
    <row r="69" spans="1:35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15"/>
      <c r="P69" s="68"/>
      <c r="Q69" s="89" t="s">
        <v>66</v>
      </c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256" t="s">
        <v>72</v>
      </c>
      <c r="AC69" s="90"/>
      <c r="AD69" s="90"/>
      <c r="AE69" s="467"/>
      <c r="AF69" s="473"/>
      <c r="AH69" s="68"/>
      <c r="AI69" s="68"/>
    </row>
    <row r="70" spans="1:35" ht="15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15"/>
      <c r="P70" s="68"/>
      <c r="Q70" s="92"/>
      <c r="R70" s="90" t="s">
        <v>67</v>
      </c>
      <c r="S70" s="90" t="s">
        <v>68</v>
      </c>
      <c r="T70" s="90" t="s">
        <v>69</v>
      </c>
      <c r="U70" s="90"/>
      <c r="V70" s="90" t="s">
        <v>71</v>
      </c>
      <c r="W70" s="90"/>
      <c r="X70" s="90"/>
      <c r="Y70" s="93" t="s">
        <v>69</v>
      </c>
      <c r="Z70" s="90"/>
      <c r="AA70" s="90"/>
      <c r="AB70" s="256" t="s">
        <v>73</v>
      </c>
      <c r="AC70" s="90" t="s">
        <v>74</v>
      </c>
      <c r="AD70" s="90"/>
      <c r="AE70" s="257"/>
      <c r="AF70" s="257"/>
    </row>
    <row r="71" spans="1:35" ht="15" x14ac:dyDescent="0.25">
      <c r="A71" s="373" t="str">
        <f>R108</f>
        <v>Horizontal mounting, single unit, carriage at top</v>
      </c>
      <c r="B71" s="17"/>
      <c r="C71" s="17"/>
      <c r="D71" s="17"/>
      <c r="E71" s="17"/>
      <c r="F71" s="17"/>
      <c r="G71" s="17"/>
      <c r="H71" s="17"/>
      <c r="I71" s="17"/>
      <c r="J71" s="17"/>
      <c r="K71" s="115"/>
      <c r="M71" s="90"/>
      <c r="P71" s="68"/>
      <c r="Q71" s="94" t="s">
        <v>24</v>
      </c>
      <c r="R71" s="256">
        <v>0</v>
      </c>
      <c r="S71" s="256">
        <v>0</v>
      </c>
      <c r="T71" s="256">
        <v>0</v>
      </c>
      <c r="U71" s="90" t="s">
        <v>27</v>
      </c>
      <c r="V71" s="95">
        <v>0</v>
      </c>
      <c r="W71" s="256">
        <v>0</v>
      </c>
      <c r="X71" s="90"/>
      <c r="Y71" s="256" t="s">
        <v>20</v>
      </c>
      <c r="Z71" s="96">
        <f>C43+V79+T73/D22*1000+(C49+AM4*2*S16)*C53</f>
        <v>8.4</v>
      </c>
      <c r="AA71" s="90" t="s">
        <v>21</v>
      </c>
      <c r="AB71" s="256">
        <f>AB4*2</f>
        <v>2460</v>
      </c>
      <c r="AC71" s="90"/>
      <c r="AD71" s="90"/>
      <c r="AH71" s="132">
        <f>Z71*(D22/2+M52)/D22</f>
        <v>4.2</v>
      </c>
      <c r="AI71" s="66">
        <f>C43+V80</f>
        <v>0</v>
      </c>
    </row>
    <row r="72" spans="1:35" ht="15" x14ac:dyDescent="0.25">
      <c r="A72" s="17"/>
      <c r="B72" s="17"/>
      <c r="C72" s="17"/>
      <c r="D72" s="17"/>
      <c r="E72" s="17"/>
      <c r="F72" s="49"/>
      <c r="G72" s="17"/>
      <c r="H72" s="17"/>
      <c r="I72" s="17"/>
      <c r="J72" s="17"/>
      <c r="K72" s="115"/>
      <c r="P72" s="68"/>
      <c r="Q72" s="94" t="s">
        <v>25</v>
      </c>
      <c r="R72" s="256">
        <v>0</v>
      </c>
      <c r="S72" s="256">
        <f>C49*C53*M53/1000</f>
        <v>0</v>
      </c>
      <c r="T72" s="256">
        <f>C47+S72</f>
        <v>0</v>
      </c>
      <c r="U72" s="90" t="s">
        <v>27</v>
      </c>
      <c r="V72" s="95">
        <f>IF(AF23=1,AK18*T72,T72/U16*1000*Y27)</f>
        <v>0</v>
      </c>
      <c r="W72" s="256">
        <f>IF(AF23=1,AK18*(T72-S72),(T72-S72)/U16*1000*Y27)</f>
        <v>0</v>
      </c>
      <c r="X72" s="90"/>
      <c r="Y72" s="256" t="s">
        <v>22</v>
      </c>
      <c r="Z72" s="256">
        <f>C44+C49*10*Y16</f>
        <v>0</v>
      </c>
      <c r="AA72" s="90" t="s">
        <v>21</v>
      </c>
      <c r="AB72" s="256">
        <f>AC4</f>
        <v>2100</v>
      </c>
      <c r="AC72" s="97">
        <f>Z72/AB72</f>
        <v>0</v>
      </c>
      <c r="AD72" s="90"/>
      <c r="AF72" s="104"/>
    </row>
    <row r="73" spans="1:35" ht="15" x14ac:dyDescent="0.25">
      <c r="A73" s="17"/>
      <c r="B73" s="404" t="s">
        <v>78</v>
      </c>
      <c r="C73" s="17"/>
      <c r="D73" s="17" t="s">
        <v>79</v>
      </c>
      <c r="E73" s="17"/>
      <c r="F73" s="17"/>
      <c r="G73" s="17"/>
      <c r="H73" s="17"/>
      <c r="I73" s="17"/>
      <c r="J73" s="17"/>
      <c r="K73" s="115"/>
      <c r="P73" s="68"/>
      <c r="Q73" s="94" t="s">
        <v>26</v>
      </c>
      <c r="R73" s="256">
        <f>C49*10*M51/1000</f>
        <v>0</v>
      </c>
      <c r="S73" s="256">
        <f>C49*C53*M52/1000</f>
        <v>0</v>
      </c>
      <c r="T73" s="256">
        <f>Y16*R73+S73+C48</f>
        <v>0</v>
      </c>
      <c r="U73" s="90" t="s">
        <v>27</v>
      </c>
      <c r="V73" s="95">
        <v>0</v>
      </c>
      <c r="W73" s="256">
        <v>0</v>
      </c>
      <c r="X73" s="90"/>
      <c r="Y73" s="256" t="s">
        <v>23</v>
      </c>
      <c r="Z73" s="96">
        <f>C45+Y16*C49*10*M53/1000/D22*1000+C46/D22*1000</f>
        <v>0</v>
      </c>
      <c r="AA73" s="90" t="s">
        <v>21</v>
      </c>
      <c r="AB73" s="256">
        <f>AD4*2</f>
        <v>4200</v>
      </c>
      <c r="AC73" s="97">
        <f>Z73/AB73</f>
        <v>0</v>
      </c>
      <c r="AD73" s="90"/>
      <c r="AE73" s="117"/>
    </row>
    <row r="74" spans="1:35" ht="15" x14ac:dyDescent="0.25">
      <c r="A74" s="293" t="s">
        <v>20</v>
      </c>
      <c r="B74" s="405">
        <f>X108</f>
        <v>26.7</v>
      </c>
      <c r="C74" s="17" t="s">
        <v>21</v>
      </c>
      <c r="D74" s="351">
        <f>Y108</f>
        <v>1230</v>
      </c>
      <c r="E74" s="17" t="s">
        <v>21</v>
      </c>
      <c r="F74" s="49" t="str">
        <f t="shared" ref="F74:F79" si="4">IF(B74&gt;D74,"Too much !"," ")</f>
        <v xml:space="preserve"> </v>
      </c>
      <c r="G74" s="17"/>
      <c r="H74" s="17"/>
      <c r="I74" s="17"/>
      <c r="J74" s="17"/>
      <c r="K74" s="115"/>
      <c r="P74" s="68"/>
      <c r="Q74" s="94"/>
      <c r="R74" s="90"/>
      <c r="S74" s="90"/>
      <c r="T74" s="90"/>
      <c r="U74" s="90"/>
      <c r="V74" s="90"/>
      <c r="W74" s="256"/>
      <c r="X74" s="90"/>
      <c r="Y74" s="256" t="s">
        <v>24</v>
      </c>
      <c r="Z74" s="256">
        <v>0</v>
      </c>
      <c r="AA74" s="90" t="s">
        <v>27</v>
      </c>
      <c r="AB74" s="256"/>
      <c r="AC74" s="97"/>
      <c r="AD74" s="120" t="s">
        <v>84</v>
      </c>
    </row>
    <row r="75" spans="1:35" ht="15" x14ac:dyDescent="0.25">
      <c r="A75" s="293" t="s">
        <v>22</v>
      </c>
      <c r="B75" s="405">
        <f>Z108</f>
        <v>0</v>
      </c>
      <c r="C75" s="17" t="s">
        <v>21</v>
      </c>
      <c r="D75" s="293">
        <f>AA108</f>
        <v>2100</v>
      </c>
      <c r="E75" s="17" t="s">
        <v>21</v>
      </c>
      <c r="F75" s="49" t="str">
        <f t="shared" si="4"/>
        <v xml:space="preserve"> </v>
      </c>
      <c r="G75" s="17"/>
      <c r="H75" s="17"/>
      <c r="I75" s="17"/>
      <c r="J75" s="17"/>
      <c r="K75" s="115"/>
      <c r="P75" s="68"/>
      <c r="Q75" s="94" t="s">
        <v>22</v>
      </c>
      <c r="R75" s="90"/>
      <c r="S75" s="90"/>
      <c r="T75" s="90"/>
      <c r="U75" s="90"/>
      <c r="V75" s="256">
        <f>Z72*Y27</f>
        <v>0</v>
      </c>
      <c r="W75" s="256">
        <f>V75</f>
        <v>0</v>
      </c>
      <c r="X75" s="90"/>
      <c r="Y75" s="256" t="s">
        <v>25</v>
      </c>
      <c r="Z75" s="256">
        <f>T72</f>
        <v>0</v>
      </c>
      <c r="AA75" s="90" t="s">
        <v>27</v>
      </c>
      <c r="AB75" s="256">
        <f>AF4*2</f>
        <v>270</v>
      </c>
      <c r="AC75" s="97">
        <f>Z75/AB75</f>
        <v>0</v>
      </c>
      <c r="AD75" s="90"/>
      <c r="AE75" s="117"/>
    </row>
    <row r="76" spans="1:35" ht="15" x14ac:dyDescent="0.25">
      <c r="A76" s="293" t="s">
        <v>23</v>
      </c>
      <c r="B76" s="405">
        <f>AB108</f>
        <v>0</v>
      </c>
      <c r="C76" s="17" t="s">
        <v>21</v>
      </c>
      <c r="D76" s="293">
        <f>AC108</f>
        <v>2100</v>
      </c>
      <c r="E76" s="17" t="s">
        <v>21</v>
      </c>
      <c r="F76" s="49" t="str">
        <f t="shared" si="4"/>
        <v xml:space="preserve"> </v>
      </c>
      <c r="G76" s="17"/>
      <c r="H76" s="17"/>
      <c r="I76" s="17"/>
      <c r="J76" s="17"/>
      <c r="K76" s="115"/>
      <c r="P76" s="68"/>
      <c r="Q76" s="94" t="s">
        <v>23</v>
      </c>
      <c r="R76" s="98"/>
      <c r="S76" s="98"/>
      <c r="T76" s="98"/>
      <c r="U76" s="98"/>
      <c r="V76" s="239">
        <f>Z73*Y27</f>
        <v>0</v>
      </c>
      <c r="W76" s="95">
        <f>V76</f>
        <v>0</v>
      </c>
      <c r="X76" s="98"/>
      <c r="Y76" s="99" t="s">
        <v>26</v>
      </c>
      <c r="Z76" s="256">
        <f>T73</f>
        <v>0</v>
      </c>
      <c r="AA76" s="90" t="s">
        <v>27</v>
      </c>
      <c r="AB76" s="99"/>
      <c r="AC76" s="97"/>
      <c r="AD76" s="120" t="s">
        <v>83</v>
      </c>
    </row>
    <row r="77" spans="1:35" ht="15" x14ac:dyDescent="0.25">
      <c r="A77" s="293" t="s">
        <v>24</v>
      </c>
      <c r="B77" s="405">
        <f>AD108</f>
        <v>0</v>
      </c>
      <c r="C77" s="17" t="s">
        <v>27</v>
      </c>
      <c r="D77" s="293">
        <f>AE108</f>
        <v>68</v>
      </c>
      <c r="E77" s="17" t="s">
        <v>27</v>
      </c>
      <c r="F77" s="49" t="str">
        <f t="shared" si="4"/>
        <v xml:space="preserve"> </v>
      </c>
      <c r="G77" s="17"/>
      <c r="H77" s="17"/>
      <c r="I77" s="17"/>
      <c r="J77" s="17"/>
      <c r="K77" s="115"/>
      <c r="Q77" s="92"/>
      <c r="R77" s="90"/>
      <c r="S77" s="90"/>
      <c r="T77" s="90"/>
      <c r="U77" s="90"/>
      <c r="V77" s="90"/>
      <c r="W77" s="90"/>
      <c r="X77" s="72"/>
      <c r="Y77" s="90"/>
      <c r="Z77" s="90"/>
      <c r="AA77" s="90"/>
      <c r="AB77" s="90"/>
      <c r="AC77" s="90"/>
      <c r="AD77" s="90"/>
    </row>
    <row r="78" spans="1:35" ht="15" x14ac:dyDescent="0.25">
      <c r="A78" s="293" t="s">
        <v>25</v>
      </c>
      <c r="B78" s="405">
        <f>AF108</f>
        <v>0</v>
      </c>
      <c r="C78" s="17" t="s">
        <v>27</v>
      </c>
      <c r="D78" s="351">
        <f>AG108</f>
        <v>135</v>
      </c>
      <c r="E78" s="17" t="s">
        <v>27</v>
      </c>
      <c r="F78" s="49" t="str">
        <f t="shared" si="4"/>
        <v xml:space="preserve"> </v>
      </c>
      <c r="G78" s="17"/>
      <c r="H78" s="17"/>
      <c r="I78" s="17"/>
      <c r="J78" s="17"/>
      <c r="K78" s="115"/>
      <c r="M78" s="90"/>
      <c r="P78" s="68"/>
      <c r="Q78" s="92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 t="s">
        <v>69</v>
      </c>
      <c r="AC78" s="100">
        <f>SUM(AC72:AC77)</f>
        <v>0</v>
      </c>
      <c r="AD78" s="90"/>
      <c r="AE78" s="117"/>
    </row>
    <row r="79" spans="1:35" ht="15" x14ac:dyDescent="0.25">
      <c r="A79" s="293" t="s">
        <v>26</v>
      </c>
      <c r="B79" s="405">
        <f>AH108</f>
        <v>0</v>
      </c>
      <c r="C79" s="17" t="s">
        <v>27</v>
      </c>
      <c r="D79" s="293">
        <f>AI108</f>
        <v>135</v>
      </c>
      <c r="E79" s="17" t="s">
        <v>27</v>
      </c>
      <c r="F79" s="49" t="str">
        <f t="shared" si="4"/>
        <v xml:space="preserve"> </v>
      </c>
      <c r="G79" s="17"/>
      <c r="H79" s="17"/>
      <c r="I79" s="17"/>
      <c r="J79" s="17"/>
      <c r="K79" s="115"/>
      <c r="P79" s="68"/>
      <c r="Q79" s="101"/>
      <c r="R79" s="102"/>
      <c r="S79" s="102"/>
      <c r="T79" s="102"/>
      <c r="U79" s="102" t="s">
        <v>69</v>
      </c>
      <c r="V79" s="103">
        <f>SUM(V71:V78)</f>
        <v>0</v>
      </c>
      <c r="W79" s="103">
        <f>SUM(W71:W78)</f>
        <v>0</v>
      </c>
      <c r="X79" s="102" t="s">
        <v>21</v>
      </c>
      <c r="Y79" s="102"/>
      <c r="Z79" s="102"/>
      <c r="AA79" s="102"/>
      <c r="AB79" s="102"/>
      <c r="AC79" s="102"/>
    </row>
    <row r="80" spans="1:35" ht="15" x14ac:dyDescent="0.25">
      <c r="A80" s="17"/>
      <c r="B80" s="17"/>
      <c r="C80" s="17"/>
      <c r="D80" s="17"/>
      <c r="E80" s="17"/>
      <c r="F80" s="23" t="s">
        <v>371</v>
      </c>
      <c r="G80" s="127">
        <f>AJ108</f>
        <v>1E-3</v>
      </c>
      <c r="H80" s="17"/>
      <c r="I80" s="17"/>
      <c r="J80" s="17"/>
      <c r="K80" s="115"/>
      <c r="P80" s="68"/>
    </row>
    <row r="81" spans="1:35" ht="15" x14ac:dyDescent="0.25">
      <c r="A81" s="17"/>
      <c r="B81" s="106" t="str">
        <f>IF(AJ108&gt;1,"The total load is too much ! Select bigger unit or another configuration.",IF(B74&gt;D74,"The axial force is too much ! Select bigger unit or another configuration."," "))</f>
        <v xml:space="preserve"> </v>
      </c>
      <c r="C81" s="17"/>
      <c r="D81" s="17"/>
      <c r="E81" s="17"/>
      <c r="F81" s="17"/>
      <c r="G81" s="17"/>
      <c r="H81" s="17"/>
      <c r="I81" s="17"/>
      <c r="J81" s="17"/>
      <c r="K81" s="115"/>
      <c r="P81" s="68"/>
      <c r="Q81" s="87" t="s">
        <v>88</v>
      </c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257"/>
      <c r="AF81" s="257"/>
    </row>
    <row r="82" spans="1:35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15"/>
      <c r="P82" s="68"/>
      <c r="Q82" s="89" t="s">
        <v>66</v>
      </c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256" t="s">
        <v>72</v>
      </c>
      <c r="AC82" s="90"/>
      <c r="AD82" s="90"/>
      <c r="AE82" s="467"/>
      <c r="AF82" s="473"/>
    </row>
    <row r="83" spans="1:35" ht="15" x14ac:dyDescent="0.25">
      <c r="A83" s="17"/>
      <c r="B83" s="301" t="s">
        <v>323</v>
      </c>
      <c r="C83" s="373" t="str">
        <f>CONCATENATE(O4,BO18,IF(C19&lt;1000,"-00",IF(C19&lt;10000,"-0","-")),C19,IF(G19&lt;1000,"-00",IF(G19&lt;10000,"-0","-")),G19,"x",W16,IF(Q16&lt;3,"-0000",-G18))</f>
        <v>WM08Z170-02000-02490xS-0000</v>
      </c>
      <c r="D83" s="17"/>
      <c r="E83" s="17"/>
      <c r="F83" s="17"/>
      <c r="G83" s="17"/>
      <c r="H83" s="17"/>
      <c r="I83" s="17"/>
      <c r="J83" s="17"/>
      <c r="K83" s="115"/>
      <c r="P83" s="68"/>
      <c r="Q83" s="92"/>
      <c r="R83" s="90" t="s">
        <v>67</v>
      </c>
      <c r="S83" s="90" t="s">
        <v>68</v>
      </c>
      <c r="T83" s="90" t="s">
        <v>69</v>
      </c>
      <c r="U83" s="90"/>
      <c r="V83" s="90" t="s">
        <v>71</v>
      </c>
      <c r="W83" s="90"/>
      <c r="X83" s="90"/>
      <c r="Y83" s="93" t="s">
        <v>69</v>
      </c>
      <c r="Z83" s="90"/>
      <c r="AA83" s="90"/>
      <c r="AB83" s="256" t="s">
        <v>73</v>
      </c>
      <c r="AC83" s="90" t="s">
        <v>74</v>
      </c>
      <c r="AD83" s="90"/>
      <c r="AE83" s="257"/>
      <c r="AF83" s="257"/>
    </row>
    <row r="84" spans="1:35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15"/>
      <c r="P84" s="68"/>
      <c r="Q84" s="94" t="s">
        <v>24</v>
      </c>
      <c r="R84" s="256">
        <v>0</v>
      </c>
      <c r="S84" s="256">
        <v>0</v>
      </c>
      <c r="T84" s="256">
        <f>C46</f>
        <v>0</v>
      </c>
      <c r="U84" s="90" t="s">
        <v>27</v>
      </c>
      <c r="V84" s="95">
        <f>T84/AR4*1000*Y27</f>
        <v>0</v>
      </c>
      <c r="W84" s="253">
        <f>V84</f>
        <v>0</v>
      </c>
      <c r="X84" s="90"/>
      <c r="Y84" s="256" t="s">
        <v>20</v>
      </c>
      <c r="Z84" s="96">
        <f>C43+(C49+AM4*S16)*C53+AP4*S16+V92+C49*10</f>
        <v>26.7</v>
      </c>
      <c r="AA84" s="90" t="s">
        <v>21</v>
      </c>
      <c r="AB84" s="256">
        <f>AB4</f>
        <v>1230</v>
      </c>
      <c r="AC84" s="90"/>
      <c r="AD84" s="90"/>
      <c r="AH84" s="66">
        <f>Z84</f>
        <v>26.7</v>
      </c>
      <c r="AI84" s="66">
        <f>C43+AP4*S16+W92+C49*10</f>
        <v>22.5</v>
      </c>
    </row>
    <row r="85" spans="1:35" ht="15" x14ac:dyDescent="0.25">
      <c r="A85" s="17"/>
      <c r="B85" s="373" t="s">
        <v>101</v>
      </c>
      <c r="C85" s="17"/>
      <c r="D85" s="17"/>
      <c r="E85" s="17"/>
      <c r="F85" s="17"/>
      <c r="G85" s="17"/>
      <c r="H85" s="17"/>
      <c r="I85" s="17"/>
      <c r="J85" s="17"/>
      <c r="K85" s="115"/>
      <c r="P85" s="68"/>
      <c r="Q85" s="94" t="s">
        <v>25</v>
      </c>
      <c r="R85" s="256">
        <f>C49*10*M53/1000</f>
        <v>0</v>
      </c>
      <c r="S85" s="256">
        <f>C49*C53*M53/1000</f>
        <v>0</v>
      </c>
      <c r="T85" s="256">
        <f>Y16*R85+S85+C47</f>
        <v>0</v>
      </c>
      <c r="U85" s="90" t="s">
        <v>27</v>
      </c>
      <c r="V85" s="95">
        <f>IF(AF23=1,AK18*T85,T85/U16*1000*Y27)</f>
        <v>0</v>
      </c>
      <c r="W85" s="90">
        <f>IF(AF23=1,AK18*(R85+C47),(R85+C47)/U16*1000*Y27)</f>
        <v>0</v>
      </c>
      <c r="X85" s="90"/>
      <c r="Y85" s="256" t="s">
        <v>22</v>
      </c>
      <c r="Z85" s="256">
        <f>C44</f>
        <v>0</v>
      </c>
      <c r="AA85" s="90" t="s">
        <v>21</v>
      </c>
      <c r="AB85" s="256">
        <f>AC4</f>
        <v>2100</v>
      </c>
      <c r="AC85" s="97">
        <f>Z85/AB85</f>
        <v>0</v>
      </c>
      <c r="AD85" s="90"/>
    </row>
    <row r="86" spans="1:35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15"/>
      <c r="P86" s="68"/>
      <c r="Q86" s="94" t="s">
        <v>26</v>
      </c>
      <c r="R86" s="256">
        <f>C49*10*M52/1000</f>
        <v>0</v>
      </c>
      <c r="S86" s="256">
        <f>C49*C53*M52/1000</f>
        <v>0</v>
      </c>
      <c r="T86" s="256">
        <f>Y16*R86+S86+C48</f>
        <v>0</v>
      </c>
      <c r="U86" s="90" t="s">
        <v>27</v>
      </c>
      <c r="V86" s="95">
        <f>IF(AF23=1,AK18*T86,T86/U16*1000*Y27)</f>
        <v>0</v>
      </c>
      <c r="W86" s="90">
        <f>IF(AF23=1,AK18*(C48+R86),(C48+R86)/U16*1000*Y27)</f>
        <v>0</v>
      </c>
      <c r="X86" s="90"/>
      <c r="Y86" s="256" t="s">
        <v>23</v>
      </c>
      <c r="Z86" s="256">
        <f>C45</f>
        <v>0</v>
      </c>
      <c r="AA86" s="90" t="s">
        <v>21</v>
      </c>
      <c r="AB86" s="256">
        <f>AD4</f>
        <v>2100</v>
      </c>
      <c r="AC86" s="97">
        <f>Z86/AB86</f>
        <v>0</v>
      </c>
      <c r="AD86" s="90"/>
    </row>
    <row r="87" spans="1:35" ht="15" x14ac:dyDescent="0.25">
      <c r="A87" s="17"/>
      <c r="B87" s="17"/>
      <c r="C87" s="23" t="s">
        <v>103</v>
      </c>
      <c r="D87" s="40">
        <v>1</v>
      </c>
      <c r="E87" s="49" t="str">
        <f>IF(D87&gt;1,"  Not possible"," ")</f>
        <v xml:space="preserve"> </v>
      </c>
      <c r="F87" s="17"/>
      <c r="G87" s="17"/>
      <c r="H87" s="17"/>
      <c r="I87" s="17"/>
      <c r="J87" s="17"/>
      <c r="K87" s="115"/>
      <c r="P87" s="68"/>
      <c r="Q87" s="94"/>
      <c r="R87" s="90"/>
      <c r="S87" s="90"/>
      <c r="T87" s="90"/>
      <c r="U87" s="90"/>
      <c r="V87" s="90"/>
      <c r="W87" s="90"/>
      <c r="X87" s="90"/>
      <c r="Y87" s="256" t="s">
        <v>24</v>
      </c>
      <c r="Z87" s="256">
        <f>T84</f>
        <v>0</v>
      </c>
      <c r="AA87" s="90" t="s">
        <v>27</v>
      </c>
      <c r="AB87" s="256">
        <f>AE4</f>
        <v>68</v>
      </c>
      <c r="AC87" s="97">
        <f>Z87/AB87</f>
        <v>0</v>
      </c>
      <c r="AD87" s="90"/>
      <c r="AE87" s="117"/>
    </row>
    <row r="88" spans="1:35" ht="15" x14ac:dyDescent="0.25">
      <c r="A88" s="17"/>
      <c r="B88" s="17"/>
      <c r="C88" s="23" t="s">
        <v>320</v>
      </c>
      <c r="D88" s="125" t="str">
        <f>IF(R121&lt;100000,R121,"&gt; 100 000")</f>
        <v>&gt; 100 000</v>
      </c>
      <c r="E88" s="17" t="s">
        <v>100</v>
      </c>
      <c r="F88" s="125" t="str">
        <f>IF(P121&gt;10*10^7,"&gt;50 000",P121/1000)</f>
        <v>&gt;50 000</v>
      </c>
      <c r="G88" s="17" t="s">
        <v>102</v>
      </c>
      <c r="H88" s="17"/>
      <c r="I88" s="17"/>
      <c r="J88" s="17"/>
      <c r="K88" s="115"/>
      <c r="P88" s="68"/>
      <c r="Q88" s="94" t="s">
        <v>22</v>
      </c>
      <c r="R88" s="90"/>
      <c r="S88" s="90"/>
      <c r="T88" s="90"/>
      <c r="U88" s="90"/>
      <c r="V88" s="256">
        <f>C44*Y27</f>
        <v>0</v>
      </c>
      <c r="W88" s="90">
        <f>V88</f>
        <v>0</v>
      </c>
      <c r="X88" s="90"/>
      <c r="Y88" s="256" t="s">
        <v>25</v>
      </c>
      <c r="Z88" s="256">
        <f>T85</f>
        <v>0</v>
      </c>
      <c r="AA88" s="90" t="s">
        <v>27</v>
      </c>
      <c r="AB88" s="256">
        <f>AF4</f>
        <v>135</v>
      </c>
      <c r="AC88" s="97">
        <f>Z88/AB88</f>
        <v>0</v>
      </c>
      <c r="AD88" s="90"/>
      <c r="AE88" s="117"/>
    </row>
    <row r="89" spans="1:35" ht="15" x14ac:dyDescent="0.25">
      <c r="A89" s="17"/>
      <c r="B89" s="17"/>
      <c r="C89" s="23" t="s">
        <v>322</v>
      </c>
      <c r="D89" s="125">
        <f>IF(AD123&lt;100000,AD123,"&gt; 100 000")</f>
        <v>59455.843388486843</v>
      </c>
      <c r="E89" s="17" t="s">
        <v>100</v>
      </c>
      <c r="F89" s="125" t="str">
        <f>IF(AF123&gt;50000,"&gt;50 000",AF123)</f>
        <v>&gt;50 000</v>
      </c>
      <c r="G89" s="17" t="s">
        <v>102</v>
      </c>
      <c r="H89" s="17"/>
      <c r="I89" s="17"/>
      <c r="J89" s="17"/>
      <c r="K89" s="115"/>
      <c r="M89" s="20"/>
      <c r="P89" s="68"/>
      <c r="Q89" s="94" t="s">
        <v>23</v>
      </c>
      <c r="R89" s="98"/>
      <c r="S89" s="98"/>
      <c r="T89" s="98"/>
      <c r="U89" s="98"/>
      <c r="V89" s="99">
        <f>C45*Y27</f>
        <v>0</v>
      </c>
      <c r="W89" s="90">
        <f>V89</f>
        <v>0</v>
      </c>
      <c r="X89" s="98"/>
      <c r="Y89" s="99" t="s">
        <v>26</v>
      </c>
      <c r="Z89" s="256">
        <f>T86</f>
        <v>0</v>
      </c>
      <c r="AA89" s="90" t="s">
        <v>27</v>
      </c>
      <c r="AB89" s="99">
        <f>AG4</f>
        <v>135</v>
      </c>
      <c r="AC89" s="97">
        <f>Z89/AB89</f>
        <v>0</v>
      </c>
      <c r="AD89" s="98"/>
      <c r="AF89" s="117"/>
    </row>
    <row r="90" spans="1:35" ht="15" x14ac:dyDescent="0.25">
      <c r="A90" s="17"/>
      <c r="B90" s="17"/>
      <c r="C90" s="23" t="s">
        <v>420</v>
      </c>
      <c r="D90" s="125">
        <f>IF(AD124&lt;100000,AD124,"&gt; 100 000")</f>
        <v>11559.453124712321</v>
      </c>
      <c r="E90" s="17" t="s">
        <v>100</v>
      </c>
      <c r="F90" s="125" t="str">
        <f>IF(AF124&gt;50000,"&gt;50 000",AF124)</f>
        <v>&gt;50 000</v>
      </c>
      <c r="G90" s="17" t="s">
        <v>102</v>
      </c>
      <c r="H90" s="17"/>
      <c r="I90" s="17"/>
      <c r="J90" s="17"/>
      <c r="K90" s="115"/>
      <c r="M90" s="20"/>
      <c r="P90" s="68"/>
      <c r="Q90" s="92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</row>
    <row r="91" spans="1:35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15"/>
      <c r="M91" s="20"/>
      <c r="P91" s="68"/>
      <c r="Q91" s="92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 t="s">
        <v>69</v>
      </c>
      <c r="AC91" s="100">
        <f>SUM(AC85:AC90)</f>
        <v>0</v>
      </c>
      <c r="AD91" s="90"/>
      <c r="AE91" s="117"/>
      <c r="AF91" s="117"/>
    </row>
    <row r="92" spans="1:35" ht="15" x14ac:dyDescent="0.25">
      <c r="A92" s="17"/>
      <c r="B92" s="17"/>
      <c r="C92" s="23" t="s">
        <v>104</v>
      </c>
      <c r="D92" s="40">
        <v>10</v>
      </c>
      <c r="E92" s="17"/>
      <c r="F92" s="23" t="s">
        <v>107</v>
      </c>
      <c r="G92" s="127">
        <f>D92*2*C58/60</f>
        <v>0.65</v>
      </c>
      <c r="H92" s="49" t="str">
        <f>IF(G92&gt;1,"Not possible !"," ")</f>
        <v xml:space="preserve"> </v>
      </c>
      <c r="I92" s="17"/>
      <c r="J92" s="17"/>
      <c r="K92" s="115"/>
      <c r="M92" s="20"/>
      <c r="P92" s="68"/>
      <c r="Q92" s="101"/>
      <c r="R92" s="102"/>
      <c r="S92" s="102"/>
      <c r="T92" s="102"/>
      <c r="U92" s="102" t="s">
        <v>69</v>
      </c>
      <c r="V92" s="103">
        <f>SUM(V84:V91)</f>
        <v>0</v>
      </c>
      <c r="W92" s="103">
        <f>SUM(W84:W91)</f>
        <v>0</v>
      </c>
      <c r="X92" s="102" t="s">
        <v>21</v>
      </c>
      <c r="Y92" s="102"/>
      <c r="Z92" s="102"/>
      <c r="AA92" s="102"/>
      <c r="AB92" s="102"/>
      <c r="AC92" s="102"/>
    </row>
    <row r="93" spans="1:35" ht="15" x14ac:dyDescent="0.25">
      <c r="A93" s="17"/>
      <c r="B93" s="17"/>
      <c r="C93" s="23" t="s">
        <v>105</v>
      </c>
      <c r="D93" s="40">
        <v>16</v>
      </c>
      <c r="E93" s="49" t="str">
        <f>IF(D93&gt;24,"  Not possible"," ")</f>
        <v xml:space="preserve"> </v>
      </c>
      <c r="F93" s="17"/>
      <c r="G93" s="17"/>
      <c r="H93" s="17"/>
      <c r="I93" s="17"/>
      <c r="J93" s="17"/>
      <c r="K93" s="115"/>
      <c r="P93" s="68"/>
    </row>
    <row r="94" spans="1:35" ht="15" x14ac:dyDescent="0.25">
      <c r="A94" s="17"/>
      <c r="B94" s="17"/>
      <c r="C94" s="23" t="s">
        <v>106</v>
      </c>
      <c r="D94" s="40">
        <v>365</v>
      </c>
      <c r="E94" s="49" t="str">
        <f>IF(D94&gt;365,"  Not possible"," ")</f>
        <v xml:space="preserve"> </v>
      </c>
      <c r="F94" s="17"/>
      <c r="G94" s="17"/>
      <c r="H94" s="17"/>
      <c r="I94" s="17"/>
      <c r="J94" s="17"/>
      <c r="K94" s="115"/>
      <c r="P94" s="68"/>
      <c r="Q94" s="87" t="s">
        <v>89</v>
      </c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257"/>
      <c r="AF94" s="257"/>
    </row>
    <row r="95" spans="1:35" x14ac:dyDescent="0.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15"/>
      <c r="P95" s="68"/>
      <c r="Q95" s="89" t="s">
        <v>66</v>
      </c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256" t="s">
        <v>72</v>
      </c>
      <c r="AC95" s="90"/>
      <c r="AD95" s="90"/>
      <c r="AE95" s="467"/>
      <c r="AF95" s="473"/>
    </row>
    <row r="96" spans="1:35" ht="15" x14ac:dyDescent="0.25">
      <c r="A96" s="17"/>
      <c r="B96" s="17"/>
      <c r="C96" s="373" t="s">
        <v>108</v>
      </c>
      <c r="D96" s="128" t="str">
        <f>IF(P121*10^3/C55/2/D92/60/D93/D94&gt;50,"&gt; 50",P121*10^3/C55/2/D92/60/D93/D94)</f>
        <v>&gt; 50</v>
      </c>
      <c r="E96" s="17" t="s">
        <v>109</v>
      </c>
      <c r="F96" s="417" t="s">
        <v>320</v>
      </c>
      <c r="G96" s="17"/>
      <c r="H96" s="17"/>
      <c r="I96" s="17"/>
      <c r="J96" s="17"/>
      <c r="K96" s="115"/>
      <c r="P96" s="68"/>
      <c r="Q96" s="92"/>
      <c r="R96" s="90" t="s">
        <v>67</v>
      </c>
      <c r="S96" s="90" t="s">
        <v>68</v>
      </c>
      <c r="T96" s="90" t="s">
        <v>69</v>
      </c>
      <c r="U96" s="90"/>
      <c r="V96" s="90" t="s">
        <v>71</v>
      </c>
      <c r="W96" s="90"/>
      <c r="X96" s="90"/>
      <c r="Y96" s="93" t="s">
        <v>69</v>
      </c>
      <c r="Z96" s="90"/>
      <c r="AA96" s="90"/>
      <c r="AB96" s="256" t="s">
        <v>73</v>
      </c>
      <c r="AC96" s="90" t="s">
        <v>74</v>
      </c>
      <c r="AD96" s="90"/>
      <c r="AE96" s="257"/>
      <c r="AF96" s="257"/>
    </row>
    <row r="97" spans="1:40" ht="15" x14ac:dyDescent="0.25">
      <c r="A97" s="17"/>
      <c r="B97" s="17"/>
      <c r="C97" s="17"/>
      <c r="D97" s="128">
        <f>IF(AH123&gt;50,"&gt; 50",AH123)</f>
        <v>25.45198775192074</v>
      </c>
      <c r="E97" s="17" t="s">
        <v>109</v>
      </c>
      <c r="F97" s="417" t="s">
        <v>322</v>
      </c>
      <c r="G97" s="17"/>
      <c r="H97" s="17"/>
      <c r="I97" s="17"/>
      <c r="J97" s="17"/>
      <c r="K97" s="115"/>
      <c r="P97" s="68"/>
      <c r="Q97" s="94" t="s">
        <v>24</v>
      </c>
      <c r="R97" s="256">
        <v>0</v>
      </c>
      <c r="S97" s="256">
        <v>0</v>
      </c>
      <c r="T97" s="256">
        <v>0</v>
      </c>
      <c r="U97" s="90" t="s">
        <v>27</v>
      </c>
      <c r="V97" s="95">
        <f>C46/D22*1000*Y27</f>
        <v>0</v>
      </c>
      <c r="W97" s="253">
        <f>V97</f>
        <v>0</v>
      </c>
      <c r="X97" s="90"/>
      <c r="Y97" s="256" t="s">
        <v>20</v>
      </c>
      <c r="Z97" s="96">
        <f>C43+C49*10+2*AM4*S16+2*AP4*S16+T99/D22*1000+(C49+2*AM4*S16)*C53</f>
        <v>57.6</v>
      </c>
      <c r="AA97" s="90" t="s">
        <v>21</v>
      </c>
      <c r="AB97" s="256">
        <f>AB4*2</f>
        <v>2460</v>
      </c>
      <c r="AC97" s="90"/>
      <c r="AD97" s="90"/>
      <c r="AH97" s="66">
        <f>Z97*(D22/2+M52)/D22</f>
        <v>28.8</v>
      </c>
      <c r="AI97" s="66">
        <f>C43+C49*10+2*AM4*S16+2*AP4*S16</f>
        <v>49.2</v>
      </c>
    </row>
    <row r="98" spans="1:40" ht="15" x14ac:dyDescent="0.25">
      <c r="A98" s="17"/>
      <c r="B98" s="17"/>
      <c r="C98" s="17"/>
      <c r="D98" s="128">
        <f>IF(AH124&gt;50,"&gt; 50",AH124)</f>
        <v>4.9483960294145204</v>
      </c>
      <c r="E98" s="17" t="s">
        <v>109</v>
      </c>
      <c r="F98" s="417" t="s">
        <v>421</v>
      </c>
      <c r="G98" s="17"/>
      <c r="H98" s="17"/>
      <c r="I98" s="17"/>
      <c r="J98" s="17"/>
      <c r="K98" s="115"/>
      <c r="P98" s="68"/>
      <c r="Q98" s="94" t="s">
        <v>25</v>
      </c>
      <c r="R98" s="256">
        <f>C49*M53*10/1000</f>
        <v>0</v>
      </c>
      <c r="S98" s="256">
        <f>C49*C53*M53/1000</f>
        <v>0</v>
      </c>
      <c r="T98" s="256">
        <f>Y16*R98+S98+C47</f>
        <v>0</v>
      </c>
      <c r="U98" s="90" t="s">
        <v>27</v>
      </c>
      <c r="V98" s="95">
        <f>IF(AF23=1,AK18*T98,T98/U16*1000*Y27)</f>
        <v>0</v>
      </c>
      <c r="W98" s="90">
        <f>IF(AF23=1,AK18*(R98+C47),(R98+C47)/U16*1000*Y27)</f>
        <v>0</v>
      </c>
      <c r="X98" s="90"/>
      <c r="Y98" s="256" t="s">
        <v>22</v>
      </c>
      <c r="Z98" s="256">
        <f>C44</f>
        <v>0</v>
      </c>
      <c r="AA98" s="90" t="s">
        <v>21</v>
      </c>
      <c r="AB98" s="256">
        <f>AC4</f>
        <v>2100</v>
      </c>
      <c r="AC98" s="97">
        <f>Z98/AB98</f>
        <v>0</v>
      </c>
      <c r="AD98" s="90"/>
    </row>
    <row r="99" spans="1:40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15"/>
      <c r="P99" s="68"/>
      <c r="Q99" s="94" t="s">
        <v>26</v>
      </c>
      <c r="R99" s="256">
        <f>C49*10*M52/1000</f>
        <v>0</v>
      </c>
      <c r="S99" s="256">
        <f>C49*C53*M52/1000</f>
        <v>0</v>
      </c>
      <c r="T99" s="256">
        <f>Y16*R99+S99+C48</f>
        <v>0</v>
      </c>
      <c r="U99" s="90" t="s">
        <v>27</v>
      </c>
      <c r="V99" s="95">
        <v>0</v>
      </c>
      <c r="W99" s="90">
        <v>0</v>
      </c>
      <c r="X99" s="90"/>
      <c r="Y99" s="256" t="s">
        <v>23</v>
      </c>
      <c r="Z99" s="96">
        <f>C45+C46/D22*1000*2</f>
        <v>0</v>
      </c>
      <c r="AA99" s="90" t="s">
        <v>21</v>
      </c>
      <c r="AB99" s="256">
        <f>AD4*2</f>
        <v>4200</v>
      </c>
      <c r="AC99" s="97">
        <f>Z99/AB99</f>
        <v>0</v>
      </c>
      <c r="AD99" s="90"/>
      <c r="AE99" s="117"/>
    </row>
    <row r="100" spans="1:40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15"/>
      <c r="P100" s="68"/>
      <c r="Q100" s="94"/>
      <c r="R100" s="90"/>
      <c r="S100" s="90"/>
      <c r="T100" s="90"/>
      <c r="U100" s="90"/>
      <c r="V100" s="90"/>
      <c r="W100" s="90"/>
      <c r="X100" s="90"/>
      <c r="Y100" s="256" t="s">
        <v>24</v>
      </c>
      <c r="Z100" s="256">
        <v>0</v>
      </c>
      <c r="AA100" s="90" t="s">
        <v>27</v>
      </c>
      <c r="AB100" s="256"/>
      <c r="AC100" s="97"/>
      <c r="AD100" s="120" t="s">
        <v>84</v>
      </c>
    </row>
    <row r="101" spans="1:40" ht="15" x14ac:dyDescent="0.25">
      <c r="A101" s="17"/>
      <c r="B101" s="17"/>
      <c r="C101" s="23" t="s">
        <v>121</v>
      </c>
      <c r="D101" s="136">
        <f>O142</f>
        <v>5.5460446247464503</v>
      </c>
      <c r="E101" s="17" t="s">
        <v>119</v>
      </c>
      <c r="F101" s="125">
        <f>R117</f>
        <v>529.41176470588243</v>
      </c>
      <c r="G101" s="17" t="s">
        <v>120</v>
      </c>
      <c r="H101" s="418">
        <f>C52</f>
        <v>1.5</v>
      </c>
      <c r="I101" s="17" t="s">
        <v>34</v>
      </c>
      <c r="J101" s="17"/>
      <c r="K101" s="115"/>
      <c r="P101" s="68"/>
      <c r="Q101" s="94" t="s">
        <v>22</v>
      </c>
      <c r="R101" s="90"/>
      <c r="S101" s="90"/>
      <c r="T101" s="90"/>
      <c r="U101" s="90"/>
      <c r="V101" s="256">
        <f>C44*Y27</f>
        <v>0</v>
      </c>
      <c r="W101" s="90">
        <f>V101</f>
        <v>0</v>
      </c>
      <c r="X101" s="90"/>
      <c r="Y101" s="256" t="s">
        <v>25</v>
      </c>
      <c r="Z101" s="256">
        <f>T98</f>
        <v>0</v>
      </c>
      <c r="AA101" s="90" t="s">
        <v>27</v>
      </c>
      <c r="AB101" s="256">
        <f>AF4*2</f>
        <v>270</v>
      </c>
      <c r="AC101" s="97">
        <f>Z101/AB101</f>
        <v>0</v>
      </c>
      <c r="AD101" s="90"/>
      <c r="AE101" s="117"/>
    </row>
    <row r="102" spans="1:40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15"/>
      <c r="P102" s="68"/>
      <c r="Q102" s="94" t="s">
        <v>23</v>
      </c>
      <c r="R102" s="98"/>
      <c r="S102" s="98"/>
      <c r="T102" s="98"/>
      <c r="U102" s="98"/>
      <c r="V102" s="256">
        <f>Z99*Y27</f>
        <v>0</v>
      </c>
      <c r="W102" s="98">
        <f>V102</f>
        <v>0</v>
      </c>
      <c r="X102" s="98"/>
      <c r="Y102" s="99" t="s">
        <v>26</v>
      </c>
      <c r="Z102" s="256">
        <f>T99</f>
        <v>0</v>
      </c>
      <c r="AA102" s="90" t="s">
        <v>27</v>
      </c>
      <c r="AB102" s="99"/>
      <c r="AC102" s="97"/>
      <c r="AD102" s="120" t="s">
        <v>83</v>
      </c>
    </row>
    <row r="103" spans="1:40" ht="15" x14ac:dyDescent="0.25">
      <c r="A103" s="17"/>
      <c r="B103" s="17"/>
      <c r="C103" s="23" t="s">
        <v>122</v>
      </c>
      <c r="D103" s="419">
        <f>P151</f>
        <v>6.186852685090134</v>
      </c>
      <c r="E103" s="17" t="s">
        <v>119</v>
      </c>
      <c r="F103" s="420">
        <f>D103*R117/9.55</f>
        <v>342.97304690983191</v>
      </c>
      <c r="G103" s="17" t="s">
        <v>124</v>
      </c>
      <c r="H103" s="17"/>
      <c r="I103" s="17"/>
      <c r="J103" s="17"/>
      <c r="K103" s="115"/>
      <c r="Q103" s="92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</row>
    <row r="104" spans="1:40" ht="15" x14ac:dyDescent="0.25">
      <c r="A104" s="17"/>
      <c r="B104" s="17"/>
      <c r="C104" s="23" t="s">
        <v>123</v>
      </c>
      <c r="D104" s="419">
        <f>P152</f>
        <v>6.3064701896876221</v>
      </c>
      <c r="E104" s="17" t="s">
        <v>119</v>
      </c>
      <c r="F104" s="420">
        <f>D104*R117/9.55</f>
        <v>349.60413740183924</v>
      </c>
      <c r="G104" s="17" t="s">
        <v>124</v>
      </c>
      <c r="H104" s="17"/>
      <c r="I104" s="17"/>
      <c r="J104" s="17"/>
      <c r="K104" s="115"/>
      <c r="Q104" s="92"/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90" t="s">
        <v>69</v>
      </c>
      <c r="AC104" s="100">
        <f>SUM(AC98:AC103)</f>
        <v>0</v>
      </c>
      <c r="AD104" s="90"/>
      <c r="AE104" s="117"/>
    </row>
    <row r="105" spans="1:40" ht="15" x14ac:dyDescent="0.25">
      <c r="A105" s="17"/>
      <c r="B105" s="17"/>
      <c r="C105" s="23" t="s">
        <v>219</v>
      </c>
      <c r="D105" s="421">
        <f>S161</f>
        <v>2.2863210661320816E-3</v>
      </c>
      <c r="E105" s="17" t="s">
        <v>220</v>
      </c>
      <c r="F105" s="17"/>
      <c r="G105" s="17"/>
      <c r="H105" s="17"/>
      <c r="I105" s="17"/>
      <c r="J105" s="17"/>
      <c r="K105" s="115"/>
      <c r="Q105" s="101"/>
      <c r="R105" s="102"/>
      <c r="S105" s="102"/>
      <c r="T105" s="102"/>
      <c r="U105" s="102" t="s">
        <v>69</v>
      </c>
      <c r="V105" s="103">
        <f>SUM(V97:V104)</f>
        <v>0</v>
      </c>
      <c r="W105" s="103">
        <f>SUM(W97:W104)</f>
        <v>0</v>
      </c>
      <c r="X105" s="102" t="s">
        <v>21</v>
      </c>
      <c r="Y105" s="102"/>
      <c r="Z105" s="102"/>
      <c r="AA105" s="102"/>
      <c r="AB105" s="102"/>
      <c r="AC105" s="102"/>
      <c r="AD105" s="102"/>
      <c r="AF105" s="85"/>
      <c r="AG105" s="283"/>
      <c r="AH105" s="68"/>
      <c r="AM105" s="469" t="s">
        <v>115</v>
      </c>
      <c r="AN105" s="469" t="s">
        <v>116</v>
      </c>
    </row>
    <row r="106" spans="1:40" ht="15" x14ac:dyDescent="0.25">
      <c r="A106" s="17"/>
      <c r="B106" s="49" t="str">
        <f>IF(P152&gt;AI4*Q23,"Too high drive torque",IF(AND(Q23=2,P152&lt;2*AI4,P152&gt;AI4),"Will require central gear mounting"," "))</f>
        <v xml:space="preserve"> </v>
      </c>
      <c r="C106" s="17"/>
      <c r="D106" s="17"/>
      <c r="E106" s="17"/>
      <c r="F106" s="17"/>
      <c r="G106" s="17"/>
      <c r="H106" s="17"/>
      <c r="I106" s="17"/>
      <c r="J106" s="17"/>
      <c r="K106" s="115"/>
      <c r="AK106" s="255" t="s">
        <v>301</v>
      </c>
      <c r="AL106" s="237"/>
      <c r="AM106" s="469"/>
      <c r="AN106" s="469"/>
    </row>
    <row r="107" spans="1:40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15"/>
      <c r="X107" s="468" t="s">
        <v>91</v>
      </c>
      <c r="Y107" s="468"/>
      <c r="Z107" s="468" t="s">
        <v>54</v>
      </c>
      <c r="AA107" s="468"/>
      <c r="AB107" s="468" t="s">
        <v>55</v>
      </c>
      <c r="AC107" s="468"/>
      <c r="AD107" s="474" t="s">
        <v>56</v>
      </c>
      <c r="AE107" s="474"/>
      <c r="AF107" s="468" t="s">
        <v>57</v>
      </c>
      <c r="AG107" s="468"/>
      <c r="AH107" s="468" t="s">
        <v>58</v>
      </c>
      <c r="AI107" s="468"/>
      <c r="AJ107" s="122" t="s">
        <v>92</v>
      </c>
      <c r="AK107" s="255" t="s">
        <v>302</v>
      </c>
      <c r="AL107" s="237"/>
      <c r="AM107" s="469"/>
      <c r="AN107" s="469"/>
    </row>
    <row r="108" spans="1:40" ht="15" x14ac:dyDescent="0.25">
      <c r="A108" s="17"/>
      <c r="B108" s="423" t="s">
        <v>125</v>
      </c>
      <c r="C108" s="424"/>
      <c r="D108" s="17"/>
      <c r="E108" s="17"/>
      <c r="F108" s="17"/>
      <c r="G108" s="17"/>
      <c r="H108" s="17"/>
      <c r="I108" s="17"/>
      <c r="J108" s="17"/>
      <c r="K108" s="115"/>
      <c r="R108" s="16" t="str">
        <f>VLOOKUP($AA$23,$Q$109:R114,2)</f>
        <v>Horizontal mounting, single unit, carriage at top</v>
      </c>
      <c r="S108" s="16" t="str">
        <f>VLOOKUP($AA$23,$Q$109:S114,2)</f>
        <v>Horizontal mounting, single unit, carriage at top</v>
      </c>
      <c r="X108" s="104">
        <f>VLOOKUP($AA$23,$Q$109:X114,8)</f>
        <v>26.7</v>
      </c>
      <c r="Y108" s="104">
        <f>VLOOKUP($AA$23,$Q$109:Y114,9)</f>
        <v>1230</v>
      </c>
      <c r="Z108" s="16">
        <f>VLOOKUP($AA$23,$Q$109:Z114,10)</f>
        <v>0</v>
      </c>
      <c r="AA108" s="16">
        <f>VLOOKUP($AA$23,$Q$109:AA114,11)</f>
        <v>2100</v>
      </c>
      <c r="AB108" s="16">
        <f>VLOOKUP($AA$23,$Q$109:AB114,12)</f>
        <v>0</v>
      </c>
      <c r="AC108" s="16">
        <f>VLOOKUP($AA$23,$Q$109:AC114,13)</f>
        <v>2100</v>
      </c>
      <c r="AD108" s="16">
        <f>VLOOKUP($AA$23,$Q$109:AD114,14)</f>
        <v>0</v>
      </c>
      <c r="AE108" s="16">
        <f>VLOOKUP($AA$23,$Q$109:AE114,15)</f>
        <v>68</v>
      </c>
      <c r="AF108" s="16">
        <f>VLOOKUP($AA$23,$Q$109:AF114,16)</f>
        <v>0</v>
      </c>
      <c r="AG108" s="16">
        <f>VLOOKUP($AA$23,$Q$109:AG114,17)</f>
        <v>135</v>
      </c>
      <c r="AH108" s="16">
        <f>VLOOKUP($AA$23,$Q$109:AH114,18)</f>
        <v>0</v>
      </c>
      <c r="AI108" s="16">
        <f>VLOOKUP($AA$23,$Q$109:AI114,19)</f>
        <v>135</v>
      </c>
      <c r="AJ108" s="113">
        <f>VLOOKUP($AA$23,$Q$109:AJ114,20)+0.001</f>
        <v>1E-3</v>
      </c>
      <c r="AK108" s="123">
        <f>VLOOKUP($AA$23,$Q$109:AK114,21)</f>
        <v>26.7</v>
      </c>
      <c r="AL108" s="123">
        <f>VLOOKUP($AA$23,$Q$109:AL114,22)</f>
        <v>0</v>
      </c>
      <c r="AM108" s="123">
        <f>VLOOKUP($AA$23,$Q$109:AM114,23)</f>
        <v>22.5</v>
      </c>
      <c r="AN108" s="123">
        <f>VLOOKUP($AA$23,$Q$109:AN114,24)</f>
        <v>26.7</v>
      </c>
    </row>
    <row r="109" spans="1:40" ht="15" x14ac:dyDescent="0.25">
      <c r="A109" s="17"/>
      <c r="B109" s="17"/>
      <c r="C109" s="17"/>
      <c r="D109" s="17"/>
      <c r="E109" s="17"/>
      <c r="F109" s="17"/>
      <c r="G109" s="17"/>
      <c r="H109" s="17"/>
      <c r="I109" s="425"/>
      <c r="J109" s="426"/>
      <c r="K109" s="115"/>
      <c r="Q109" s="257">
        <v>1</v>
      </c>
      <c r="R109" s="93" t="s">
        <v>90</v>
      </c>
      <c r="X109" s="104">
        <f>Z31</f>
        <v>26.7</v>
      </c>
      <c r="Y109" s="16">
        <f>AB31</f>
        <v>1230</v>
      </c>
      <c r="Z109" s="16">
        <f>Z32</f>
        <v>0</v>
      </c>
      <c r="AA109" s="16">
        <f>AB32</f>
        <v>2100</v>
      </c>
      <c r="AB109" s="16">
        <f>Z33</f>
        <v>0</v>
      </c>
      <c r="AC109" s="16">
        <f>AB33</f>
        <v>2100</v>
      </c>
      <c r="AD109" s="16">
        <f>Z34</f>
        <v>0</v>
      </c>
      <c r="AE109" s="16">
        <f>AB34</f>
        <v>68</v>
      </c>
      <c r="AF109" s="16">
        <f>Z35</f>
        <v>0</v>
      </c>
      <c r="AG109" s="16">
        <f>AB35</f>
        <v>135</v>
      </c>
      <c r="AH109" s="16">
        <f>Z36</f>
        <v>0</v>
      </c>
      <c r="AI109" s="16">
        <f>AB36</f>
        <v>135</v>
      </c>
      <c r="AJ109" s="105">
        <f>AC38</f>
        <v>0</v>
      </c>
      <c r="AK109" s="117">
        <f>AH31</f>
        <v>26.7</v>
      </c>
      <c r="AL109" s="117">
        <f>AF38</f>
        <v>0</v>
      </c>
      <c r="AM109" s="117">
        <f>AI31</f>
        <v>22.5</v>
      </c>
      <c r="AN109" s="117">
        <f>AH31</f>
        <v>26.7</v>
      </c>
    </row>
    <row r="110" spans="1:40" ht="15" x14ac:dyDescent="0.25">
      <c r="A110" s="17"/>
      <c r="B110" s="17"/>
      <c r="C110" s="17"/>
      <c r="D110" s="17"/>
      <c r="E110" s="17"/>
      <c r="F110" s="17"/>
      <c r="G110" s="17"/>
      <c r="H110" s="17"/>
      <c r="I110" s="427"/>
      <c r="J110" s="426"/>
      <c r="K110" s="115"/>
      <c r="Q110" s="257">
        <v>2</v>
      </c>
      <c r="R110" s="75" t="s">
        <v>87</v>
      </c>
      <c r="X110" s="104">
        <f>Z45</f>
        <v>53.4</v>
      </c>
      <c r="Y110" s="16">
        <f>AB45</f>
        <v>2460</v>
      </c>
      <c r="Z110" s="16">
        <f>Z46</f>
        <v>0</v>
      </c>
      <c r="AA110" s="16">
        <f>AB46</f>
        <v>2100</v>
      </c>
      <c r="AB110" s="16">
        <f>Z47</f>
        <v>0</v>
      </c>
      <c r="AC110" s="16">
        <f>AB47</f>
        <v>4200</v>
      </c>
      <c r="AD110" s="16" t="str">
        <f>IF(Z48=0," - ",Z48)</f>
        <v xml:space="preserve"> - </v>
      </c>
      <c r="AE110" s="16" t="str">
        <f>IF(AB48=0," - ",AB48)</f>
        <v xml:space="preserve"> - </v>
      </c>
      <c r="AF110" s="16">
        <f>Z49</f>
        <v>0</v>
      </c>
      <c r="AG110" s="16">
        <f>AB49</f>
        <v>270</v>
      </c>
      <c r="AH110" s="16">
        <f>Z50</f>
        <v>0</v>
      </c>
      <c r="AI110" s="16" t="str">
        <f>IF(AB50=0," - ",AB50)</f>
        <v xml:space="preserve"> - </v>
      </c>
      <c r="AJ110" s="105">
        <f>AC52</f>
        <v>0</v>
      </c>
      <c r="AK110" s="117">
        <f>AH45</f>
        <v>26.7</v>
      </c>
      <c r="AL110" s="16">
        <f>AF52</f>
        <v>0</v>
      </c>
      <c r="AM110" s="117">
        <f>AI45</f>
        <v>45</v>
      </c>
      <c r="AN110" s="117">
        <f>AH45*2</f>
        <v>53.4</v>
      </c>
    </row>
    <row r="111" spans="1:40" ht="15" x14ac:dyDescent="0.25">
      <c r="A111" s="17"/>
      <c r="B111" s="17"/>
      <c r="C111" s="23" t="str">
        <f>IF($L$262=2,"Ratio"," ")</f>
        <v>Ratio</v>
      </c>
      <c r="D111" s="154">
        <v>3</v>
      </c>
      <c r="E111" s="17"/>
      <c r="F111" s="17"/>
      <c r="G111" s="17"/>
      <c r="H111" s="17"/>
      <c r="I111" s="428"/>
      <c r="J111" s="426"/>
      <c r="K111" s="115"/>
      <c r="Q111" s="257">
        <v>3</v>
      </c>
      <c r="R111" s="93" t="s">
        <v>85</v>
      </c>
      <c r="X111" s="104">
        <f>Z58</f>
        <v>26.7</v>
      </c>
      <c r="Y111" s="16">
        <f>AB58</f>
        <v>1230</v>
      </c>
      <c r="Z111" s="16">
        <f>Z59</f>
        <v>0</v>
      </c>
      <c r="AA111" s="16">
        <f>AB59</f>
        <v>2100</v>
      </c>
      <c r="AB111" s="16">
        <f>Z60</f>
        <v>0</v>
      </c>
      <c r="AC111" s="16">
        <f>AB60</f>
        <v>2100</v>
      </c>
      <c r="AD111" s="16">
        <f>Z61</f>
        <v>0</v>
      </c>
      <c r="AE111" s="16">
        <f>AB61</f>
        <v>68</v>
      </c>
      <c r="AF111" s="16">
        <f>Z62</f>
        <v>0</v>
      </c>
      <c r="AG111" s="16">
        <f>AB62</f>
        <v>135</v>
      </c>
      <c r="AH111" s="16">
        <f>Z63</f>
        <v>0</v>
      </c>
      <c r="AI111" s="16">
        <f>AB63</f>
        <v>135</v>
      </c>
      <c r="AJ111" s="105">
        <f>AC65</f>
        <v>0</v>
      </c>
      <c r="AK111" s="117">
        <f>AH58</f>
        <v>26.7</v>
      </c>
      <c r="AL111" s="117">
        <f>AF65</f>
        <v>0</v>
      </c>
      <c r="AM111" s="117">
        <f>AI58</f>
        <v>22.5</v>
      </c>
      <c r="AN111" s="117">
        <f>AH58</f>
        <v>26.7</v>
      </c>
    </row>
    <row r="112" spans="1:40" ht="15" x14ac:dyDescent="0.25">
      <c r="A112" s="17"/>
      <c r="B112" s="17"/>
      <c r="C112" s="23" t="str">
        <f>IF($L$262=2,"Effiency factor"," ")</f>
        <v>Effiency factor</v>
      </c>
      <c r="D112" s="155">
        <v>0.95</v>
      </c>
      <c r="E112" s="17"/>
      <c r="F112" s="17"/>
      <c r="G112" s="17"/>
      <c r="H112" s="17"/>
      <c r="I112" s="17"/>
      <c r="J112" s="17"/>
      <c r="K112" s="115"/>
      <c r="Q112" s="257">
        <v>4</v>
      </c>
      <c r="R112" s="93" t="s">
        <v>86</v>
      </c>
      <c r="X112" s="104">
        <f>Z71</f>
        <v>8.4</v>
      </c>
      <c r="Y112" s="16">
        <f>AB71</f>
        <v>2460</v>
      </c>
      <c r="Z112" s="16">
        <f>Z72</f>
        <v>0</v>
      </c>
      <c r="AA112" s="16">
        <f>AB72</f>
        <v>2100</v>
      </c>
      <c r="AB112" s="104">
        <f>Z73</f>
        <v>0</v>
      </c>
      <c r="AC112" s="16">
        <f>AB73</f>
        <v>4200</v>
      </c>
      <c r="AD112" s="16" t="str">
        <f>IF(Z74=0," - ",Z74)</f>
        <v xml:space="preserve"> - </v>
      </c>
      <c r="AE112" s="16" t="str">
        <f>IF(AB74=0," - ",AB74)</f>
        <v xml:space="preserve"> - </v>
      </c>
      <c r="AF112" s="16">
        <f>Z75</f>
        <v>0</v>
      </c>
      <c r="AG112" s="16">
        <f>AB75</f>
        <v>270</v>
      </c>
      <c r="AH112" s="16">
        <f>Z76</f>
        <v>0</v>
      </c>
      <c r="AI112" s="16" t="str">
        <f>IF(AB76=0," - ",AB76)</f>
        <v xml:space="preserve"> - </v>
      </c>
      <c r="AJ112" s="105">
        <f>AC78</f>
        <v>0</v>
      </c>
      <c r="AK112" s="117">
        <f>AH71</f>
        <v>4.2</v>
      </c>
      <c r="AL112" s="16">
        <f>AF78</f>
        <v>0</v>
      </c>
      <c r="AM112" s="117">
        <f>AI71</f>
        <v>0</v>
      </c>
      <c r="AN112" s="117">
        <f>AH71*2</f>
        <v>8.4</v>
      </c>
    </row>
    <row r="113" spans="1:48" ht="15" x14ac:dyDescent="0.25">
      <c r="A113" s="17"/>
      <c r="B113" s="17"/>
      <c r="C113" s="23" t="str">
        <f>IF($L$262=2,"Idle torque"," ")</f>
        <v>Idle torque</v>
      </c>
      <c r="D113" s="154">
        <v>0.1</v>
      </c>
      <c r="E113" s="417" t="str">
        <f>IF($L$262=2,"Nm"," ")</f>
        <v>Nm</v>
      </c>
      <c r="F113" s="17"/>
      <c r="G113" s="17"/>
      <c r="H113" s="17"/>
      <c r="I113" s="17"/>
      <c r="J113" s="17"/>
      <c r="K113" s="115"/>
      <c r="Q113" s="257">
        <v>5</v>
      </c>
      <c r="R113" s="93" t="s">
        <v>88</v>
      </c>
      <c r="X113" s="104">
        <f>Z84</f>
        <v>26.7</v>
      </c>
      <c r="Y113" s="16">
        <f>AB84</f>
        <v>1230</v>
      </c>
      <c r="Z113" s="16">
        <f>Z85</f>
        <v>0</v>
      </c>
      <c r="AA113" s="16">
        <f>AB85</f>
        <v>2100</v>
      </c>
      <c r="AB113" s="16">
        <f>Z86</f>
        <v>0</v>
      </c>
      <c r="AC113" s="16">
        <f>AB86</f>
        <v>2100</v>
      </c>
      <c r="AD113" s="16">
        <f>Z87</f>
        <v>0</v>
      </c>
      <c r="AE113" s="16">
        <f>AB87</f>
        <v>68</v>
      </c>
      <c r="AF113" s="16">
        <f>Z88</f>
        <v>0</v>
      </c>
      <c r="AG113" s="16">
        <f>AB88</f>
        <v>135</v>
      </c>
      <c r="AH113" s="16">
        <f>Z89</f>
        <v>0</v>
      </c>
      <c r="AI113" s="16">
        <f>AB89</f>
        <v>135</v>
      </c>
      <c r="AJ113" s="105">
        <f>AC91</f>
        <v>0</v>
      </c>
      <c r="AK113" s="117">
        <f>AH84</f>
        <v>26.7</v>
      </c>
      <c r="AL113" s="117">
        <f>AF91</f>
        <v>0</v>
      </c>
      <c r="AM113" s="104">
        <f>AI84</f>
        <v>22.5</v>
      </c>
      <c r="AN113" s="117">
        <f>AH84</f>
        <v>26.7</v>
      </c>
    </row>
    <row r="114" spans="1:48" ht="15" x14ac:dyDescent="0.25">
      <c r="A114" s="17"/>
      <c r="B114" s="17"/>
      <c r="C114" s="23" t="str">
        <f>IF($L$262=2,"Inertia"," ")</f>
        <v>Inertia</v>
      </c>
      <c r="D114" s="154">
        <v>5.0000000000000002E-5</v>
      </c>
      <c r="E114" s="417" t="str">
        <f>IF($L$262=2,"kg m²"," ")</f>
        <v>kg m²</v>
      </c>
      <c r="F114" s="373" t="str">
        <f>IF(AND(L262=2,Q23=2),"Total inertia for gears and parallel shaft"," ")</f>
        <v xml:space="preserve"> </v>
      </c>
      <c r="G114" s="17"/>
      <c r="H114" s="17"/>
      <c r="I114" s="17"/>
      <c r="J114" s="17"/>
      <c r="K114" s="115"/>
      <c r="Q114" s="257">
        <v>6</v>
      </c>
      <c r="R114" s="93" t="s">
        <v>89</v>
      </c>
      <c r="X114" s="104">
        <f>Z97</f>
        <v>57.6</v>
      </c>
      <c r="Y114" s="16">
        <f>AB97</f>
        <v>2460</v>
      </c>
      <c r="Z114" s="16">
        <f>Z98</f>
        <v>0</v>
      </c>
      <c r="AA114" s="16">
        <f>AB98</f>
        <v>2100</v>
      </c>
      <c r="AB114" s="104">
        <f>Z99</f>
        <v>0</v>
      </c>
      <c r="AC114" s="16">
        <f>AB99</f>
        <v>4200</v>
      </c>
      <c r="AD114" s="16" t="str">
        <f>IF(Z100=0," - ",Z100)</f>
        <v xml:space="preserve"> - </v>
      </c>
      <c r="AE114" s="16" t="str">
        <f>IF(AB100=0," - ",AB100)</f>
        <v xml:space="preserve"> - </v>
      </c>
      <c r="AF114" s="16">
        <f>Z101</f>
        <v>0</v>
      </c>
      <c r="AG114" s="16">
        <f>AB101</f>
        <v>270</v>
      </c>
      <c r="AH114" s="16">
        <f>Z102</f>
        <v>0</v>
      </c>
      <c r="AI114" s="16">
        <f>AB102</f>
        <v>0</v>
      </c>
      <c r="AJ114" s="105">
        <f>AC104</f>
        <v>0</v>
      </c>
      <c r="AK114" s="117">
        <f>AH97</f>
        <v>28.8</v>
      </c>
      <c r="AL114" s="16">
        <f>AF104</f>
        <v>0</v>
      </c>
      <c r="AM114" s="104">
        <f>AI97</f>
        <v>49.2</v>
      </c>
      <c r="AN114" s="117">
        <f>AH97*2</f>
        <v>57.6</v>
      </c>
    </row>
    <row r="115" spans="1:48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15"/>
    </row>
    <row r="116" spans="1:48" x14ac:dyDescent="0.2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15"/>
    </row>
    <row r="117" spans="1:48" ht="15.75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15"/>
      <c r="Q117" s="51" t="s">
        <v>406</v>
      </c>
      <c r="R117" s="104">
        <f>$C$52*1000/C14*60</f>
        <v>529.41176470588243</v>
      </c>
      <c r="T117" s="51" t="s">
        <v>205</v>
      </c>
      <c r="U117" s="104">
        <f>R117*IF(L262=1,1,D111)</f>
        <v>1588.2352941176473</v>
      </c>
      <c r="V117" s="240" t="s">
        <v>129</v>
      </c>
      <c r="W117" s="240"/>
      <c r="AP117" s="186"/>
      <c r="AQ117" s="135"/>
      <c r="AR117" s="135"/>
      <c r="AS117" s="135"/>
      <c r="AT117" s="184"/>
      <c r="AU117" s="181"/>
      <c r="AV117" s="72"/>
    </row>
    <row r="118" spans="1:48" ht="15" x14ac:dyDescent="0.2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15"/>
      <c r="R118" s="90"/>
      <c r="S118" s="90"/>
      <c r="T118" s="90"/>
      <c r="U118" s="90"/>
      <c r="V118" s="90"/>
      <c r="W118" s="90"/>
      <c r="AP118" s="183"/>
      <c r="AQ118" s="179"/>
      <c r="AR118" s="180"/>
      <c r="AS118" s="187"/>
      <c r="AT118" s="183"/>
      <c r="AU118" s="181"/>
      <c r="AV118" s="72"/>
    </row>
    <row r="119" spans="1:48" ht="15.75" x14ac:dyDescent="0.25">
      <c r="A119" s="17"/>
      <c r="B119" s="17"/>
      <c r="C119" s="23" t="str">
        <f>IF(OR(L266=2,L266=3),"Nominal torque",IF(L266=4,"Holding torque"," "))</f>
        <v xml:space="preserve"> </v>
      </c>
      <c r="D119" s="128" t="str">
        <f>IF(L266=2,Q206,IF(L266=3,R177,IF(L266=4,O234," ")))</f>
        <v xml:space="preserve"> </v>
      </c>
      <c r="E119" s="17" t="str">
        <f>IF(L266=2,"Nm",IF(L266=3,"Nm at max speed",IF(L266=4,"Nm"," ")))</f>
        <v xml:space="preserve"> </v>
      </c>
      <c r="F119" s="17"/>
      <c r="G119" s="17"/>
      <c r="H119" s="17"/>
      <c r="I119" s="17"/>
      <c r="J119" s="437"/>
      <c r="K119" s="115"/>
      <c r="N119" s="109" t="s">
        <v>303</v>
      </c>
      <c r="Q119" s="16" t="s">
        <v>304</v>
      </c>
      <c r="AP119" s="183"/>
      <c r="AQ119" s="179"/>
      <c r="AR119" s="180"/>
      <c r="AS119" s="179"/>
      <c r="AT119" s="182"/>
      <c r="AU119" s="181"/>
      <c r="AV119" s="72"/>
    </row>
    <row r="120" spans="1:48" ht="18.75" x14ac:dyDescent="0.35">
      <c r="A120" s="17"/>
      <c r="B120" s="17"/>
      <c r="C120" s="23" t="str">
        <f>IF($L$266=2,"Nominal speed",IF($L$266=3,"Peak torque"," "))</f>
        <v xml:space="preserve"> </v>
      </c>
      <c r="D120" s="157" t="str">
        <f>IF(L266=2,O206,IF(L266=3,S177," "))</f>
        <v xml:space="preserve"> </v>
      </c>
      <c r="E120" s="417" t="str">
        <f>IF($L$266=2,"rpm",IF($L$266=3,"Nm"," "))</f>
        <v xml:space="preserve"> </v>
      </c>
      <c r="F120" s="17"/>
      <c r="G120" s="17"/>
      <c r="H120" s="17"/>
      <c r="I120" s="17"/>
      <c r="J120" s="437"/>
      <c r="K120" s="115"/>
      <c r="N120" s="16" t="s">
        <v>310</v>
      </c>
      <c r="Q120" s="51"/>
      <c r="R120" s="104"/>
      <c r="AP120" s="135"/>
      <c r="AQ120" s="135"/>
      <c r="AR120" s="183"/>
      <c r="AS120" s="187"/>
      <c r="AT120" s="184"/>
      <c r="AU120" s="181"/>
      <c r="AV120" s="72"/>
    </row>
    <row r="121" spans="1:48" ht="18.75" x14ac:dyDescent="0.35">
      <c r="A121" s="17"/>
      <c r="B121" s="17"/>
      <c r="C121" s="23" t="str">
        <f>IF($L$266=2,"Nominal power",IF($L$266=3,"Max speed"," "))</f>
        <v xml:space="preserve"> </v>
      </c>
      <c r="D121" s="157" t="str">
        <f>IF(L266=2,P206,IF(L266=3,O177," "))</f>
        <v xml:space="preserve"> </v>
      </c>
      <c r="E121" s="417" t="str">
        <f>IF($L$266=2,"kW",IF($L$266=3,"rpm"," "))</f>
        <v xml:space="preserve"> </v>
      </c>
      <c r="F121" s="17"/>
      <c r="G121" s="17"/>
      <c r="H121" s="17"/>
      <c r="I121" s="17"/>
      <c r="J121" s="437"/>
      <c r="K121" s="115"/>
      <c r="N121" s="16" t="s">
        <v>305</v>
      </c>
      <c r="P121" s="16">
        <f>(AU4*Q23*T23/(AD4+AT4)/AJ108/D87)^3*10^5</f>
        <v>2.9458543424302086E+17</v>
      </c>
      <c r="Q121" s="16" t="s">
        <v>306</v>
      </c>
      <c r="R121" s="16">
        <f>P121/C52/3600</f>
        <v>54552858193152.008</v>
      </c>
      <c r="S121" s="16" t="s">
        <v>100</v>
      </c>
      <c r="AP121" s="182"/>
      <c r="AQ121" s="135"/>
      <c r="AR121" s="135"/>
      <c r="AS121" s="135"/>
      <c r="AT121" s="183"/>
      <c r="AU121" s="186"/>
      <c r="AV121" s="72"/>
    </row>
    <row r="122" spans="1:48" ht="15.75" x14ac:dyDescent="0.25">
      <c r="A122" s="17"/>
      <c r="B122" s="17"/>
      <c r="C122" s="23" t="str">
        <f>IF(L266=3,"Nominal power"," ")</f>
        <v xml:space="preserve"> </v>
      </c>
      <c r="D122" s="157" t="str">
        <f>IF(L266=3,P177," ")</f>
        <v xml:space="preserve"> </v>
      </c>
      <c r="E122" s="17" t="str">
        <f>IF(L266=3,"kW"," ")</f>
        <v xml:space="preserve"> </v>
      </c>
      <c r="F122" s="17"/>
      <c r="G122" s="17"/>
      <c r="H122" s="17"/>
      <c r="I122" s="17"/>
      <c r="J122" s="437"/>
      <c r="K122" s="115"/>
      <c r="Q122" s="51"/>
      <c r="R122" s="104"/>
      <c r="AP122" s="182"/>
      <c r="AQ122" s="135"/>
      <c r="AR122" s="135"/>
      <c r="AS122" s="187"/>
      <c r="AT122" s="182"/>
      <c r="AU122" s="182"/>
      <c r="AV122" s="72"/>
    </row>
    <row r="123" spans="1:48" ht="15.75" x14ac:dyDescent="0.25">
      <c r="A123" s="17"/>
      <c r="B123" s="17"/>
      <c r="C123" s="439" t="str">
        <f>IF(L266=5,"Customer motor data:"," ")</f>
        <v>Customer motor data:</v>
      </c>
      <c r="D123" s="158" t="s">
        <v>217</v>
      </c>
      <c r="E123" s="158"/>
      <c r="F123" s="158"/>
      <c r="G123" s="158"/>
      <c r="H123" s="158"/>
      <c r="I123" s="158"/>
      <c r="J123" s="17"/>
      <c r="K123" s="115"/>
      <c r="N123" s="16" t="s">
        <v>412</v>
      </c>
      <c r="Y123" s="104">
        <f>(2*1.1*AX4+X108)/2</f>
        <v>1630.3500000000001</v>
      </c>
      <c r="Z123" s="16" t="s">
        <v>413</v>
      </c>
      <c r="AB123" s="16" t="s">
        <v>414</v>
      </c>
      <c r="AD123" s="104">
        <f>(AY4/Y123)^3*10^6/C14/60</f>
        <v>59455.843388486843</v>
      </c>
      <c r="AE123" s="16" t="s">
        <v>100</v>
      </c>
      <c r="AF123" s="20">
        <f>AD123*3600*C52/1000</f>
        <v>321061.55429782899</v>
      </c>
      <c r="AG123" s="16" t="s">
        <v>102</v>
      </c>
      <c r="AH123" s="16">
        <f>AF123*1000/C55/2*1000/D92/60/D93/D94</f>
        <v>25.45198775192074</v>
      </c>
      <c r="AP123" s="182"/>
      <c r="AQ123" s="135"/>
      <c r="AR123" s="135"/>
      <c r="AS123" s="187"/>
      <c r="AT123" s="182"/>
      <c r="AU123" s="182"/>
      <c r="AV123" s="72"/>
    </row>
    <row r="124" spans="1:48" ht="15.75" x14ac:dyDescent="0.25">
      <c r="A124" s="17"/>
      <c r="B124" s="17"/>
      <c r="C124" s="17"/>
      <c r="D124" s="158"/>
      <c r="E124" s="158"/>
      <c r="F124" s="158"/>
      <c r="G124" s="158"/>
      <c r="H124" s="158"/>
      <c r="I124" s="158"/>
      <c r="J124" s="17"/>
      <c r="K124" s="115"/>
      <c r="N124" s="16" t="s">
        <v>415</v>
      </c>
      <c r="Y124" s="104">
        <f>(2*1.1*AX4+2*X108)/2</f>
        <v>1643.7000000000003</v>
      </c>
      <c r="Z124" s="16" t="s">
        <v>413</v>
      </c>
      <c r="AB124" s="16" t="s">
        <v>414</v>
      </c>
      <c r="AD124" s="104">
        <f>(AZ4/Y124)^3*10^6/C14/60</f>
        <v>11559.453124712321</v>
      </c>
      <c r="AE124" s="16" t="s">
        <v>100</v>
      </c>
      <c r="AF124" s="20">
        <f>AD124*3600*C52/1000</f>
        <v>62421.046873446532</v>
      </c>
      <c r="AG124" s="16" t="s">
        <v>102</v>
      </c>
      <c r="AH124" s="16">
        <f>AF124*1000/C55/2*1000/$D$92/60/$D$93/$D$94</f>
        <v>4.9483960294145204</v>
      </c>
      <c r="AP124" s="182"/>
      <c r="AQ124" s="135"/>
      <c r="AR124" s="135"/>
      <c r="AS124" s="187"/>
      <c r="AT124" s="182"/>
      <c r="AU124" s="182"/>
      <c r="AV124" s="72"/>
    </row>
    <row r="125" spans="1:48" ht="15.75" x14ac:dyDescent="0.25">
      <c r="A125" s="17"/>
      <c r="B125" s="17"/>
      <c r="C125" s="17"/>
      <c r="D125" s="158"/>
      <c r="E125" s="158"/>
      <c r="F125" s="158"/>
      <c r="G125" s="158"/>
      <c r="H125" s="158"/>
      <c r="I125" s="158"/>
      <c r="J125" s="17"/>
      <c r="K125" s="115"/>
      <c r="AP125" s="182"/>
      <c r="AQ125" s="135"/>
      <c r="AR125" s="135"/>
      <c r="AS125" s="187"/>
      <c r="AT125" s="182"/>
      <c r="AU125" s="182"/>
      <c r="AV125" s="72"/>
    </row>
    <row r="126" spans="1:48" ht="15.75" x14ac:dyDescent="0.25">
      <c r="A126" s="17"/>
      <c r="B126" s="17"/>
      <c r="C126" s="17"/>
      <c r="D126" s="158"/>
      <c r="E126" s="158"/>
      <c r="F126" s="158"/>
      <c r="G126" s="158"/>
      <c r="H126" s="158"/>
      <c r="I126" s="158"/>
      <c r="J126" s="17"/>
      <c r="K126" s="115"/>
      <c r="N126" s="90"/>
      <c r="O126" s="51" t="s">
        <v>422</v>
      </c>
      <c r="P126" s="105">
        <v>0.95</v>
      </c>
      <c r="Q126" s="117"/>
      <c r="X126" s="51"/>
      <c r="Y126" s="274"/>
      <c r="AP126" s="182"/>
      <c r="AQ126" s="135"/>
      <c r="AR126" s="135"/>
      <c r="AS126" s="187"/>
      <c r="AT126" s="182"/>
      <c r="AU126" s="182"/>
      <c r="AV126" s="72"/>
    </row>
    <row r="127" spans="1:48" ht="15.75" x14ac:dyDescent="0.25">
      <c r="A127" s="17"/>
      <c r="B127" s="17"/>
      <c r="C127" s="23" t="str">
        <f>IF(L266=5,"Motor inertia:"," ")</f>
        <v>Motor inertia:</v>
      </c>
      <c r="D127" s="159">
        <v>5.0000000000000001E-4</v>
      </c>
      <c r="E127" s="303" t="str">
        <f>IF(L266=5,"kg m²"," ")</f>
        <v>kg m²</v>
      </c>
      <c r="F127" s="441"/>
      <c r="G127" s="441"/>
      <c r="H127" s="441"/>
      <c r="I127" s="441"/>
      <c r="J127" s="17"/>
      <c r="K127" s="115"/>
      <c r="Q127" s="117"/>
      <c r="X127" s="51"/>
      <c r="Y127" s="274"/>
      <c r="AP127" s="181"/>
      <c r="AQ127" s="135"/>
      <c r="AR127" s="183"/>
      <c r="AS127" s="182"/>
      <c r="AT127" s="183"/>
      <c r="AU127" s="182"/>
      <c r="AV127" s="72"/>
    </row>
    <row r="128" spans="1:48" ht="15.75" x14ac:dyDescent="0.25">
      <c r="A128" s="17"/>
      <c r="B128" s="404"/>
      <c r="C128" s="17"/>
      <c r="D128" s="17"/>
      <c r="E128" s="17"/>
      <c r="F128" s="17"/>
      <c r="G128" s="17"/>
      <c r="H128" s="17"/>
      <c r="I128" s="17"/>
      <c r="J128" s="17"/>
      <c r="K128" s="115"/>
      <c r="X128" s="51"/>
      <c r="AD128" s="104"/>
      <c r="AI128" s="20"/>
      <c r="AP128" s="181"/>
      <c r="AQ128" s="135"/>
      <c r="AR128" s="183"/>
      <c r="AS128" s="184"/>
      <c r="AT128" s="183"/>
      <c r="AU128" s="184"/>
      <c r="AV128" s="72"/>
    </row>
    <row r="129" spans="1:48" ht="15.75" x14ac:dyDescent="0.25">
      <c r="A129" s="17"/>
      <c r="B129" s="443" t="s">
        <v>211</v>
      </c>
      <c r="C129" s="17"/>
      <c r="D129" s="17"/>
      <c r="E129" s="17"/>
      <c r="F129" s="17"/>
      <c r="G129" s="17"/>
      <c r="H129" s="17"/>
      <c r="I129" s="17"/>
      <c r="J129" s="17"/>
      <c r="K129" s="115"/>
      <c r="AB129" s="104"/>
      <c r="AG129" s="104"/>
      <c r="AI129" s="20"/>
      <c r="AP129" s="185"/>
      <c r="AQ129" s="135"/>
      <c r="AR129" s="183"/>
      <c r="AS129" s="184"/>
      <c r="AT129" s="183"/>
      <c r="AU129" s="184"/>
      <c r="AV129" s="72"/>
    </row>
    <row r="130" spans="1:48" ht="15.75" x14ac:dyDescent="0.25">
      <c r="A130" s="17"/>
      <c r="B130" s="17"/>
      <c r="C130" s="23" t="s">
        <v>213</v>
      </c>
      <c r="D130" s="136">
        <f>Z151</f>
        <v>2.2708255035403981</v>
      </c>
      <c r="E130" s="17" t="s">
        <v>27</v>
      </c>
      <c r="F130" s="17"/>
      <c r="G130" s="17"/>
      <c r="H130" s="17"/>
      <c r="I130" s="17"/>
      <c r="J130" s="17"/>
      <c r="K130" s="115"/>
      <c r="AP130" s="181"/>
      <c r="AQ130" s="135"/>
      <c r="AR130" s="183"/>
      <c r="AS130" s="184"/>
      <c r="AT130" s="183"/>
      <c r="AU130" s="184"/>
      <c r="AV130" s="72"/>
    </row>
    <row r="131" spans="1:48" ht="15.75" x14ac:dyDescent="0.25">
      <c r="A131" s="17"/>
      <c r="B131" s="17"/>
      <c r="C131" s="23" t="s">
        <v>214</v>
      </c>
      <c r="D131" s="136">
        <f>Z152</f>
        <v>2.3969569380089224</v>
      </c>
      <c r="E131" s="17" t="s">
        <v>27</v>
      </c>
      <c r="F131" s="17"/>
      <c r="G131" s="17"/>
      <c r="H131" s="17"/>
      <c r="I131" s="17"/>
      <c r="J131" s="17"/>
      <c r="K131" s="115"/>
      <c r="T131" s="20"/>
      <c r="V131" s="117"/>
      <c r="AA131" s="51"/>
      <c r="AB131" s="257"/>
      <c r="AP131" s="135"/>
      <c r="AQ131" s="135"/>
      <c r="AR131" s="183"/>
      <c r="AS131" s="184"/>
      <c r="AT131" s="183"/>
      <c r="AU131" s="184"/>
      <c r="AV131" s="72"/>
    </row>
    <row r="132" spans="1:48" ht="15" x14ac:dyDescent="0.25">
      <c r="A132" s="17"/>
      <c r="B132" s="17"/>
      <c r="C132" s="23" t="s">
        <v>215</v>
      </c>
      <c r="D132" s="136">
        <f>D130*D134/9550</f>
        <v>0.37765499596914542</v>
      </c>
      <c r="E132" s="17" t="s">
        <v>132</v>
      </c>
      <c r="F132" s="17"/>
      <c r="G132" s="17"/>
      <c r="H132" s="17"/>
      <c r="I132" s="17"/>
      <c r="J132" s="17"/>
      <c r="K132" s="115"/>
      <c r="T132" s="117"/>
      <c r="AA132" s="51"/>
      <c r="AB132" s="257"/>
      <c r="AP132" s="72"/>
      <c r="AQ132" s="72"/>
      <c r="AR132" s="72"/>
      <c r="AS132" s="72"/>
      <c r="AT132" s="72"/>
      <c r="AU132" s="72"/>
      <c r="AV132" s="72"/>
    </row>
    <row r="133" spans="1:48" ht="15" x14ac:dyDescent="0.25">
      <c r="A133" s="17"/>
      <c r="B133" s="17"/>
      <c r="C133" s="23" t="s">
        <v>216</v>
      </c>
      <c r="D133" s="136">
        <f>D131*D134/9550</f>
        <v>0.39863158192941744</v>
      </c>
      <c r="E133" s="17" t="s">
        <v>132</v>
      </c>
      <c r="F133" s="164" t="e">
        <f>D134/D120*50</f>
        <v>#VALUE!</v>
      </c>
      <c r="G133" s="17" t="str">
        <f>IF(L266=2,"Hz"," ")</f>
        <v xml:space="preserve"> </v>
      </c>
      <c r="H133" s="17"/>
      <c r="I133" s="17"/>
      <c r="J133" s="17"/>
      <c r="K133" s="115"/>
      <c r="M133" s="90"/>
      <c r="AA133" s="51"/>
      <c r="AG133" s="104"/>
    </row>
    <row r="134" spans="1:48" ht="15" x14ac:dyDescent="0.25">
      <c r="A134" s="17"/>
      <c r="B134" s="17"/>
      <c r="C134" s="23" t="s">
        <v>212</v>
      </c>
      <c r="D134" s="125">
        <f>U117</f>
        <v>1588.2352941176473</v>
      </c>
      <c r="E134" s="17" t="s">
        <v>129</v>
      </c>
      <c r="F134" s="17"/>
      <c r="G134" s="17"/>
      <c r="H134" s="17"/>
      <c r="I134" s="17"/>
      <c r="J134" s="17"/>
      <c r="K134" s="115"/>
    </row>
    <row r="135" spans="1:48" ht="15" x14ac:dyDescent="0.25">
      <c r="A135" s="17"/>
      <c r="B135" s="17"/>
      <c r="C135" s="23" t="s">
        <v>209</v>
      </c>
      <c r="D135" s="128">
        <f>R167</f>
        <v>1.6442935702515735</v>
      </c>
      <c r="E135" s="17"/>
      <c r="F135" s="17"/>
      <c r="G135" s="17"/>
      <c r="H135" s="17"/>
      <c r="I135" s="17"/>
      <c r="J135" s="17"/>
      <c r="K135" s="115"/>
      <c r="M135" s="252"/>
    </row>
    <row r="136" spans="1:48" x14ac:dyDescent="0.2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15"/>
      <c r="L136" s="51"/>
      <c r="N136" s="90"/>
      <c r="O136" s="90"/>
      <c r="P136" s="90"/>
      <c r="Q136" s="90"/>
      <c r="R136" s="90"/>
      <c r="S136" s="90"/>
      <c r="T136" s="90"/>
      <c r="U136" s="466"/>
      <c r="V136" s="466"/>
      <c r="W136" s="467"/>
      <c r="X136" s="467"/>
      <c r="AC136" s="257"/>
    </row>
    <row r="137" spans="1:48" ht="15" x14ac:dyDescent="0.25">
      <c r="A137" s="166" t="s">
        <v>218</v>
      </c>
      <c r="B137" s="167"/>
      <c r="C137" s="167"/>
      <c r="D137" s="167"/>
      <c r="E137" s="167"/>
      <c r="F137" s="167"/>
      <c r="G137" s="167"/>
      <c r="H137" s="167"/>
      <c r="I137" s="167"/>
      <c r="J137" s="167"/>
      <c r="K137" s="115"/>
      <c r="L137" s="51"/>
      <c r="N137" s="90"/>
      <c r="O137" s="256"/>
      <c r="P137" s="256"/>
      <c r="Q137" s="256"/>
      <c r="R137" s="256"/>
      <c r="S137" s="256"/>
      <c r="T137" s="256"/>
      <c r="U137" s="256"/>
      <c r="V137" s="256"/>
      <c r="W137" s="90"/>
      <c r="X137" s="90"/>
      <c r="Y137" s="16">
        <f>M4+1</f>
        <v>3</v>
      </c>
      <c r="AB137" s="257" t="s">
        <v>114</v>
      </c>
      <c r="AC137" s="257"/>
    </row>
    <row r="138" spans="1:48" x14ac:dyDescent="0.2">
      <c r="A138" s="167"/>
      <c r="B138" s="167"/>
      <c r="C138" s="167"/>
      <c r="D138" s="167"/>
      <c r="E138" s="167"/>
      <c r="F138" s="167"/>
      <c r="G138" s="167"/>
      <c r="H138" s="167"/>
      <c r="I138" s="167"/>
      <c r="J138" s="167"/>
      <c r="K138" s="115"/>
      <c r="M138" s="90"/>
      <c r="N138" s="90"/>
      <c r="O138" s="90"/>
      <c r="P138" s="90"/>
      <c r="Q138" s="90"/>
      <c r="R138" s="90"/>
      <c r="S138" s="90"/>
      <c r="T138" s="90"/>
      <c r="U138" s="90"/>
      <c r="V138" s="256"/>
      <c r="W138" s="90"/>
      <c r="X138" s="90"/>
      <c r="AA138" s="16" t="str">
        <f>VLOOKUP(Y137,Z139:AB142,2)</f>
        <v>GS24</v>
      </c>
      <c r="AB138" s="16">
        <f>VLOOKUP(Y137,Z139:AB142,3)</f>
        <v>1.63E-4</v>
      </c>
    </row>
    <row r="139" spans="1:48" x14ac:dyDescent="0.2">
      <c r="A139" s="167"/>
      <c r="B139" s="167"/>
      <c r="C139" s="167"/>
      <c r="D139" s="167"/>
      <c r="E139" s="167"/>
      <c r="F139" s="167"/>
      <c r="G139" s="167"/>
      <c r="H139" s="167"/>
      <c r="I139" s="167"/>
      <c r="J139" s="167"/>
      <c r="K139" s="115"/>
      <c r="L139" s="16" t="s">
        <v>110</v>
      </c>
      <c r="N139" s="16">
        <v>150</v>
      </c>
      <c r="O139" s="16">
        <f>IF($M$4=1,600,450)</f>
        <v>450</v>
      </c>
      <c r="P139" s="16">
        <f>IF($M$4=1,1250,885)</f>
        <v>885</v>
      </c>
      <c r="Q139" s="90"/>
      <c r="R139" s="90"/>
      <c r="S139" s="90"/>
      <c r="T139" s="90"/>
      <c r="U139" s="90"/>
      <c r="V139" s="90"/>
      <c r="W139" s="90"/>
      <c r="X139" s="90"/>
      <c r="Z139" s="16">
        <v>1</v>
      </c>
      <c r="AA139" s="16" t="s">
        <v>192</v>
      </c>
      <c r="AB139" s="16">
        <f>0.0000065</f>
        <v>6.4999999999999996E-6</v>
      </c>
    </row>
    <row r="140" spans="1:48" x14ac:dyDescent="0.2">
      <c r="A140" s="167"/>
      <c r="B140" s="167"/>
      <c r="C140" s="167"/>
      <c r="D140" s="167"/>
      <c r="E140" s="167"/>
      <c r="F140" s="167"/>
      <c r="G140" s="167"/>
      <c r="H140" s="167"/>
      <c r="I140" s="167"/>
      <c r="J140" s="167"/>
      <c r="K140" s="115"/>
      <c r="N140" s="16">
        <f>BA4</f>
        <v>4</v>
      </c>
      <c r="O140" s="16">
        <f t="shared" ref="O140:P140" si="5">BB4</f>
        <v>5.4</v>
      </c>
      <c r="P140" s="16">
        <f t="shared" si="5"/>
        <v>6.2</v>
      </c>
      <c r="Q140" s="90"/>
      <c r="R140" s="90"/>
      <c r="S140" s="90"/>
      <c r="T140" s="90"/>
      <c r="U140" s="90"/>
      <c r="V140" s="90"/>
      <c r="W140" s="90"/>
      <c r="X140" s="90"/>
      <c r="Y140" s="16" t="s">
        <v>360</v>
      </c>
      <c r="Z140" s="16">
        <v>2</v>
      </c>
      <c r="AA140" s="16" t="s">
        <v>193</v>
      </c>
      <c r="AB140" s="254">
        <v>3.8999999999999999E-5</v>
      </c>
    </row>
    <row r="141" spans="1:48" x14ac:dyDescent="0.2">
      <c r="A141" s="167"/>
      <c r="B141" s="167"/>
      <c r="C141" s="167"/>
      <c r="D141" s="167"/>
      <c r="E141" s="167"/>
      <c r="F141" s="167"/>
      <c r="G141" s="167"/>
      <c r="H141" s="167"/>
      <c r="I141" s="167"/>
      <c r="J141" s="167"/>
      <c r="K141" s="115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16" t="s">
        <v>361</v>
      </c>
      <c r="Z141" s="16">
        <v>3</v>
      </c>
      <c r="AA141" s="16" t="s">
        <v>194</v>
      </c>
      <c r="AB141" s="16">
        <v>1.63E-4</v>
      </c>
    </row>
    <row r="142" spans="1:48" x14ac:dyDescent="0.2">
      <c r="A142" s="167"/>
      <c r="B142" s="167"/>
      <c r="C142" s="167"/>
      <c r="D142" s="167"/>
      <c r="E142" s="167"/>
      <c r="F142" s="167"/>
      <c r="G142" s="167"/>
      <c r="H142" s="167"/>
      <c r="I142" s="167"/>
      <c r="J142" s="167"/>
      <c r="K142" s="115"/>
      <c r="L142" s="16" t="s">
        <v>426</v>
      </c>
      <c r="O142" s="129">
        <f>IF(R117&lt;=150,N140,IF(AND(R117&gt;150,R117&lt;=O139),N140+(R117-150)/(O139-N139)*(O140-N140),O140+(R117-O139)/(P139-O139)*(P140-O140)))</f>
        <v>5.5460446247464503</v>
      </c>
      <c r="P142" s="16" t="s">
        <v>27</v>
      </c>
      <c r="Y142" s="16" t="s">
        <v>362</v>
      </c>
      <c r="Z142" s="16">
        <v>4</v>
      </c>
      <c r="AA142" s="16" t="s">
        <v>359</v>
      </c>
      <c r="AB142" s="16">
        <v>3.8000000000000002E-4</v>
      </c>
    </row>
    <row r="143" spans="1:48" x14ac:dyDescent="0.2">
      <c r="A143" s="167"/>
      <c r="B143" s="167"/>
      <c r="C143" s="167"/>
      <c r="D143" s="167"/>
      <c r="E143" s="167"/>
      <c r="F143" s="167"/>
      <c r="G143" s="168"/>
      <c r="H143" s="168"/>
      <c r="I143" s="168"/>
      <c r="J143" s="168"/>
      <c r="K143" s="115"/>
      <c r="N143" s="129"/>
    </row>
    <row r="144" spans="1:48" ht="15" x14ac:dyDescent="0.25">
      <c r="A144" s="167"/>
      <c r="B144" s="167"/>
      <c r="C144" s="167"/>
      <c r="D144" s="167"/>
      <c r="E144" s="167"/>
      <c r="F144" s="167"/>
      <c r="G144" s="168"/>
      <c r="H144" s="165"/>
      <c r="I144" s="169"/>
      <c r="J144" s="169"/>
      <c r="K144" s="115"/>
      <c r="N144" s="129"/>
    </row>
    <row r="145" spans="1:32" ht="15" x14ac:dyDescent="0.25">
      <c r="A145" s="167"/>
      <c r="B145" s="167"/>
      <c r="C145" s="167"/>
      <c r="D145" s="167"/>
      <c r="E145" s="167"/>
      <c r="F145" s="167"/>
      <c r="G145" s="168"/>
      <c r="H145" s="165"/>
      <c r="I145" s="169"/>
      <c r="J145" s="169"/>
      <c r="K145" s="115"/>
    </row>
    <row r="146" spans="1:32" ht="15" x14ac:dyDescent="0.25">
      <c r="A146" s="167"/>
      <c r="B146" s="167"/>
      <c r="C146" s="167"/>
      <c r="D146" s="167"/>
      <c r="E146" s="167"/>
      <c r="F146" s="167"/>
      <c r="G146" s="168"/>
      <c r="H146" s="165"/>
      <c r="I146" s="169"/>
      <c r="J146" s="169"/>
      <c r="K146" s="115"/>
    </row>
    <row r="147" spans="1:32" ht="15" x14ac:dyDescent="0.25">
      <c r="A147" s="167"/>
      <c r="B147" s="167"/>
      <c r="C147" s="167"/>
      <c r="D147" s="167"/>
      <c r="E147" s="167"/>
      <c r="F147" s="167"/>
      <c r="G147" s="168"/>
      <c r="H147" s="170"/>
      <c r="I147" s="169"/>
      <c r="J147" s="169"/>
      <c r="K147" s="115"/>
    </row>
    <row r="148" spans="1:32" x14ac:dyDescent="0.2">
      <c r="A148" s="167"/>
      <c r="B148" s="167"/>
      <c r="C148" s="167"/>
      <c r="D148" s="167"/>
      <c r="E148" s="167"/>
      <c r="F148" s="167"/>
      <c r="G148" s="168"/>
      <c r="H148" s="168"/>
      <c r="I148" s="168"/>
      <c r="J148" s="168"/>
      <c r="K148" s="115"/>
    </row>
    <row r="149" spans="1:32" hidden="1" x14ac:dyDescent="0.2">
      <c r="K149" s="115"/>
    </row>
    <row r="150" spans="1:32" hidden="1" x14ac:dyDescent="0.2">
      <c r="K150" s="115"/>
    </row>
    <row r="151" spans="1:32" ht="15" hidden="1" x14ac:dyDescent="0.25">
      <c r="K151" s="115"/>
      <c r="L151" s="16" t="s">
        <v>117</v>
      </c>
      <c r="P151" s="16">
        <f>O142+AM108*C14/2/1000/P126/PI()</f>
        <v>6.186852685090134</v>
      </c>
      <c r="Q151" s="16" t="s">
        <v>27</v>
      </c>
      <c r="V151" s="16" t="s">
        <v>204</v>
      </c>
      <c r="Z151" s="16">
        <f>IF(L262=1,P151/0.99,P151/D111/D112+D113)</f>
        <v>2.2708255035403981</v>
      </c>
      <c r="AA151" s="16" t="s">
        <v>27</v>
      </c>
      <c r="AC151" s="50"/>
    </row>
    <row r="152" spans="1:32" hidden="1" x14ac:dyDescent="0.2">
      <c r="K152" s="115"/>
      <c r="L152" s="16" t="s">
        <v>118</v>
      </c>
      <c r="P152" s="16">
        <f>O142+AN108*C14/2/1000/P126/PI()</f>
        <v>6.3064701896876221</v>
      </c>
      <c r="Q152" s="16" t="s">
        <v>355</v>
      </c>
      <c r="V152" s="16" t="s">
        <v>206</v>
      </c>
      <c r="Z152" s="163">
        <f>AC161+Z151</f>
        <v>2.3969569380089224</v>
      </c>
      <c r="AA152" s="16" t="s">
        <v>207</v>
      </c>
    </row>
    <row r="153" spans="1:32" hidden="1" x14ac:dyDescent="0.2">
      <c r="K153" s="115"/>
    </row>
    <row r="154" spans="1:32" hidden="1" x14ac:dyDescent="0.2">
      <c r="K154" s="115"/>
    </row>
    <row r="155" spans="1:32" hidden="1" x14ac:dyDescent="0.2">
      <c r="K155" s="115"/>
      <c r="P155" s="16">
        <f>P152-P151</f>
        <v>0.1196175045974881</v>
      </c>
    </row>
    <row r="156" spans="1:32" hidden="1" x14ac:dyDescent="0.2">
      <c r="K156" s="115"/>
      <c r="AA156" s="257" t="s">
        <v>99</v>
      </c>
      <c r="AB156" s="257"/>
      <c r="AC156" s="257" t="s">
        <v>203</v>
      </c>
    </row>
    <row r="157" spans="1:32" ht="15.75" hidden="1" x14ac:dyDescent="0.25">
      <c r="K157" s="115"/>
      <c r="L157" s="16" t="s">
        <v>427</v>
      </c>
      <c r="Q157" s="16" t="s">
        <v>113</v>
      </c>
      <c r="T157" s="16">
        <f>(BD4*2*G19/1000+C49+AM4*Q23)*(C52*60/2/PI()/R117)^2</f>
        <v>2.0476778175394085E-3</v>
      </c>
      <c r="U157" s="16" t="s">
        <v>114</v>
      </c>
      <c r="AA157" s="257" t="s">
        <v>202</v>
      </c>
      <c r="AB157" s="257"/>
      <c r="AC157" s="257" t="s">
        <v>202</v>
      </c>
    </row>
    <row r="158" spans="1:32" ht="15" hidden="1" x14ac:dyDescent="0.25">
      <c r="K158" s="115"/>
      <c r="L158" s="16" t="s">
        <v>428</v>
      </c>
      <c r="N158" s="16" t="s">
        <v>429</v>
      </c>
      <c r="T158" s="134">
        <f>PI()*AW4^2/4*BE4*2.7/10^6/2*(AW4/2/1000)^2*Q23</f>
        <v>1.7045946328048096E-4</v>
      </c>
      <c r="U158" s="16" t="s">
        <v>114</v>
      </c>
      <c r="Y158" s="137" t="s">
        <v>126</v>
      </c>
      <c r="Z158"/>
      <c r="AA158" s="160">
        <f>S161</f>
        <v>2.2863210661320816E-3</v>
      </c>
      <c r="AB158" s="138" t="s">
        <v>127</v>
      </c>
      <c r="AC158" s="160">
        <f>IF(L262=1,S161+T162+T164,(S160+T162)/D111^2/D112+T163+T164)</f>
        <v>5.6906432748538016E-4</v>
      </c>
      <c r="AD158" s="138" t="s">
        <v>127</v>
      </c>
      <c r="AF158" s="112">
        <v>1</v>
      </c>
    </row>
    <row r="159" spans="1:32" ht="15" hidden="1" x14ac:dyDescent="0.25">
      <c r="K159" s="115"/>
      <c r="L159" s="16" t="s">
        <v>430</v>
      </c>
      <c r="T159" s="16">
        <f>PI()*AW4^2/4*BF4*2.7/10^6/2*(AW4/2/1000)^2*Q23</f>
        <v>6.8183785312192399E-5</v>
      </c>
      <c r="U159" s="16" t="s">
        <v>114</v>
      </c>
      <c r="Y159" s="137" t="s">
        <v>128</v>
      </c>
      <c r="Z159"/>
      <c r="AA159" s="161">
        <f>R117</f>
        <v>529.41176470588243</v>
      </c>
      <c r="AB159" s="138" t="s">
        <v>129</v>
      </c>
      <c r="AC159" s="161">
        <f>U117</f>
        <v>1588.2352941176473</v>
      </c>
      <c r="AD159" s="138" t="s">
        <v>129</v>
      </c>
      <c r="AF159" t="s">
        <v>222</v>
      </c>
    </row>
    <row r="160" spans="1:32" ht="15" hidden="1" x14ac:dyDescent="0.25">
      <c r="K160" s="115"/>
      <c r="L160" s="16" t="s">
        <v>431</v>
      </c>
      <c r="T160" s="16">
        <f>(Q23-1)*(2*BG4+BH4*D22/1000)</f>
        <v>0</v>
      </c>
      <c r="U160" s="16" t="s">
        <v>114</v>
      </c>
      <c r="Y160" s="137" t="s">
        <v>130</v>
      </c>
      <c r="Z160"/>
      <c r="AA160" s="160">
        <f>C52/C53</f>
        <v>0.75</v>
      </c>
      <c r="AB160" s="138" t="s">
        <v>52</v>
      </c>
      <c r="AC160" s="160">
        <f>AA160</f>
        <v>0.75</v>
      </c>
      <c r="AD160" s="138" t="s">
        <v>52</v>
      </c>
      <c r="AF160" t="s">
        <v>225</v>
      </c>
    </row>
    <row r="161" spans="11:32" ht="15" hidden="1" x14ac:dyDescent="0.25">
      <c r="K161" s="115"/>
      <c r="S161" s="16">
        <f>SUM(T157:T160)</f>
        <v>2.2863210661320816E-3</v>
      </c>
      <c r="Y161"/>
      <c r="Z161"/>
      <c r="AA161" s="162">
        <f>AA158*3.14*AA159/30/AA160</f>
        <v>0.16891877994481738</v>
      </c>
      <c r="AB161" s="138" t="s">
        <v>27</v>
      </c>
      <c r="AC161" s="162">
        <f>AC158*3.14*AC159/30/AC160</f>
        <v>0.12613143446852429</v>
      </c>
      <c r="AD161" s="138" t="s">
        <v>27</v>
      </c>
      <c r="AF161" t="s">
        <v>367</v>
      </c>
    </row>
    <row r="162" spans="11:32" ht="15" hidden="1" x14ac:dyDescent="0.25">
      <c r="K162" s="115"/>
      <c r="L162" s="16" t="s">
        <v>198</v>
      </c>
      <c r="T162" s="16">
        <f>AB138</f>
        <v>1.63E-4</v>
      </c>
      <c r="AF162" t="s">
        <v>368</v>
      </c>
    </row>
    <row r="163" spans="11:32" ht="15" hidden="1" x14ac:dyDescent="0.25">
      <c r="K163" s="115"/>
      <c r="L163" s="16" t="s">
        <v>199</v>
      </c>
      <c r="T163" s="16">
        <f>IF(L262=2,D114,0)</f>
        <v>5.0000000000000002E-5</v>
      </c>
      <c r="AF163" t="s">
        <v>369</v>
      </c>
    </row>
    <row r="164" spans="11:32" ht="15" hidden="1" x14ac:dyDescent="0.25">
      <c r="K164" s="115"/>
      <c r="L164" s="16" t="s">
        <v>200</v>
      </c>
      <c r="T164" s="16">
        <f>IF(L266=1,0,IF(L266=2,R206,IF(L266=3,V177,IF(L266=4,P234,IF(L266=5,D127,0)))))</f>
        <v>5.0000000000000001E-4</v>
      </c>
      <c r="AF164" t="s">
        <v>224</v>
      </c>
    </row>
    <row r="165" spans="11:32" hidden="1" x14ac:dyDescent="0.2">
      <c r="K165" s="115"/>
    </row>
    <row r="166" spans="11:32" hidden="1" x14ac:dyDescent="0.2">
      <c r="K166" s="115"/>
      <c r="M166" s="16" t="s">
        <v>208</v>
      </c>
      <c r="S166" s="16">
        <f>(S161+T162)/IF(L262=1,1,D111^2)+T163+T164</f>
        <v>8.2214678512578681E-4</v>
      </c>
    </row>
    <row r="167" spans="11:32" hidden="1" x14ac:dyDescent="0.2">
      <c r="K167" s="115"/>
      <c r="M167" s="16" t="s">
        <v>209</v>
      </c>
      <c r="R167" s="16">
        <f>S166/T164</f>
        <v>1.6442935702515735</v>
      </c>
    </row>
    <row r="168" spans="11:32" hidden="1" x14ac:dyDescent="0.2">
      <c r="K168" s="115"/>
    </row>
    <row r="169" spans="11:32" hidden="1" x14ac:dyDescent="0.2">
      <c r="K169" s="115"/>
    </row>
    <row r="170" spans="11:32" hidden="1" x14ac:dyDescent="0.2">
      <c r="K170" s="115"/>
    </row>
    <row r="171" spans="11:32" hidden="1" x14ac:dyDescent="0.2">
      <c r="K171" s="115"/>
    </row>
    <row r="172" spans="11:32" hidden="1" x14ac:dyDescent="0.2">
      <c r="K172" s="115"/>
    </row>
    <row r="173" spans="11:32" hidden="1" x14ac:dyDescent="0.2">
      <c r="K173" s="115"/>
    </row>
    <row r="174" spans="11:32" hidden="1" x14ac:dyDescent="0.2">
      <c r="K174" s="115"/>
      <c r="L174" s="257">
        <v>1</v>
      </c>
      <c r="M174" s="257">
        <v>2</v>
      </c>
      <c r="N174" s="257">
        <v>3</v>
      </c>
      <c r="O174" s="257">
        <v>4</v>
      </c>
      <c r="P174" s="257">
        <v>5</v>
      </c>
      <c r="Q174" s="257">
        <v>6</v>
      </c>
      <c r="R174" s="257">
        <v>7</v>
      </c>
      <c r="S174" s="257">
        <v>8</v>
      </c>
      <c r="T174" s="257">
        <v>9</v>
      </c>
      <c r="U174" s="257">
        <v>10</v>
      </c>
      <c r="V174" s="257">
        <v>11</v>
      </c>
      <c r="W174" s="257">
        <v>12</v>
      </c>
      <c r="X174" s="257">
        <v>13</v>
      </c>
      <c r="Y174" s="257">
        <v>14</v>
      </c>
    </row>
    <row r="175" spans="11:32" hidden="1" x14ac:dyDescent="0.2">
      <c r="K175" s="115"/>
    </row>
    <row r="176" spans="11:32" ht="15" hidden="1" x14ac:dyDescent="0.25">
      <c r="K176" s="115"/>
      <c r="M176" s="140" t="s">
        <v>189</v>
      </c>
      <c r="N176" s="140"/>
      <c r="O176" s="140" t="s">
        <v>131</v>
      </c>
      <c r="P176" s="141" t="s">
        <v>132</v>
      </c>
      <c r="Q176" s="141" t="s">
        <v>133</v>
      </c>
      <c r="R176" s="140" t="s">
        <v>134</v>
      </c>
      <c r="S176" s="140" t="s">
        <v>135</v>
      </c>
      <c r="T176" s="141" t="s">
        <v>126</v>
      </c>
      <c r="U176" s="140" t="s">
        <v>136</v>
      </c>
      <c r="V176" s="140"/>
      <c r="W176" s="141" t="s">
        <v>137</v>
      </c>
      <c r="X176" s="141" t="s">
        <v>138</v>
      </c>
      <c r="Y176" s="141" t="s">
        <v>139</v>
      </c>
    </row>
    <row r="177" spans="11:25" ht="15" hidden="1" x14ac:dyDescent="0.25">
      <c r="K177" s="115"/>
      <c r="L177" s="140"/>
      <c r="M177" s="156" t="str">
        <f>VLOOKUP($L$274,$L$178:M201,M$174)</f>
        <v>AKM65M</v>
      </c>
      <c r="N177" s="156">
        <f>VLOOKUP($L$274,$L$175:N198,N174)</f>
        <v>0</v>
      </c>
      <c r="O177" s="156">
        <f>VLOOKUP($L$274,$L$175:O198,O174)</f>
        <v>2500</v>
      </c>
      <c r="P177" s="156">
        <f>VLOOKUP($L$274,$L$175:P198,P174)</f>
        <v>5.03</v>
      </c>
      <c r="Q177" s="156">
        <f>VLOOKUP($L$274,$L$175:Q198,Q174)</f>
        <v>25</v>
      </c>
      <c r="R177" s="156">
        <f>VLOOKUP($L$274,$L$175:R198,R174)</f>
        <v>19.2</v>
      </c>
      <c r="S177" s="156">
        <f>VLOOKUP($L$274,$L$175:S198,S174)</f>
        <v>65.2</v>
      </c>
      <c r="T177" s="156">
        <f>VLOOKUP($L$274,$L$175:T198,T174)</f>
        <v>4.0000000000000001E-3</v>
      </c>
      <c r="U177" s="156">
        <f>VLOOKUP($L$274,$L$175:U198,U174)</f>
        <v>6.0999999999999999E-5</v>
      </c>
      <c r="V177" s="156">
        <f>VLOOKUP($L$274,$L$175:V198,V174)</f>
        <v>4.0610000000000004E-3</v>
      </c>
      <c r="W177" s="156">
        <f>VLOOKUP($L$274,$L$175:W198,W174)</f>
        <v>1.85</v>
      </c>
      <c r="X177" s="156">
        <f>VLOOKUP($L$274,$L$175:X198,X174)</f>
        <v>119</v>
      </c>
      <c r="Y177" s="156">
        <f>VLOOKUP($L$274,$L$175:Y198,Y174)</f>
        <v>0.68</v>
      </c>
    </row>
    <row r="178" spans="11:25" ht="15" hidden="1" x14ac:dyDescent="0.25">
      <c r="K178" s="115"/>
      <c r="L178" s="141">
        <v>1</v>
      </c>
      <c r="M178" s="140" t="s">
        <v>140</v>
      </c>
      <c r="N178" s="140"/>
      <c r="O178" s="141">
        <v>5000</v>
      </c>
      <c r="P178" s="141">
        <v>0.52</v>
      </c>
      <c r="Q178" s="141">
        <v>1.1499999999999999</v>
      </c>
      <c r="R178" s="141">
        <v>1</v>
      </c>
      <c r="S178" s="141">
        <v>3.88</v>
      </c>
      <c r="T178" s="141">
        <v>3.3000000000000003E-5</v>
      </c>
      <c r="U178" s="141">
        <v>1.1999999999999999E-6</v>
      </c>
      <c r="V178" s="141">
        <f t="shared" ref="V178:V192" si="6">IF($O$266=2,T178+U178,T178)</f>
        <v>3.4200000000000005E-5</v>
      </c>
      <c r="W178" s="141">
        <v>0.85</v>
      </c>
      <c r="X178" s="141">
        <v>54.5</v>
      </c>
      <c r="Y178" s="141">
        <v>21.4</v>
      </c>
    </row>
    <row r="179" spans="11:25" ht="15" hidden="1" x14ac:dyDescent="0.25">
      <c r="K179" s="115"/>
      <c r="L179" s="141">
        <v>2</v>
      </c>
      <c r="M179" s="140" t="s">
        <v>141</v>
      </c>
      <c r="N179" s="140"/>
      <c r="O179" s="141">
        <v>3000</v>
      </c>
      <c r="P179" s="141">
        <v>0.57999999999999996</v>
      </c>
      <c r="Q179" s="141">
        <v>2</v>
      </c>
      <c r="R179" s="141">
        <v>1.86</v>
      </c>
      <c r="S179" s="141">
        <v>6.92</v>
      </c>
      <c r="T179" s="141">
        <v>5.8999999999999998E-5</v>
      </c>
      <c r="U179" s="141">
        <v>1.1999999999999999E-6</v>
      </c>
      <c r="V179" s="141">
        <f t="shared" si="6"/>
        <v>6.02E-5</v>
      </c>
      <c r="W179" s="141">
        <v>1.4</v>
      </c>
      <c r="X179" s="141">
        <v>89.8</v>
      </c>
      <c r="Y179" s="141">
        <v>23</v>
      </c>
    </row>
    <row r="180" spans="11:25" ht="15" hidden="1" x14ac:dyDescent="0.25">
      <c r="K180" s="115"/>
      <c r="L180" s="141">
        <v>3</v>
      </c>
      <c r="M180" s="140" t="s">
        <v>142</v>
      </c>
      <c r="N180" s="140"/>
      <c r="O180" s="141">
        <v>4500</v>
      </c>
      <c r="P180" s="141">
        <v>1.1000000000000001</v>
      </c>
      <c r="Q180" s="141">
        <v>2.79</v>
      </c>
      <c r="R180" s="141">
        <v>2.34</v>
      </c>
      <c r="S180" s="141">
        <v>9.9600000000000009</v>
      </c>
      <c r="T180" s="142">
        <v>8.5000000000000006E-5</v>
      </c>
      <c r="U180" s="141">
        <v>1.1999999999999999E-6</v>
      </c>
      <c r="V180" s="141">
        <f t="shared" si="6"/>
        <v>8.6200000000000008E-5</v>
      </c>
      <c r="W180" s="141">
        <v>1.1000000000000001</v>
      </c>
      <c r="X180" s="141">
        <v>70.599999999999994</v>
      </c>
      <c r="Y180" s="141">
        <v>8.36</v>
      </c>
    </row>
    <row r="181" spans="11:25" ht="15" hidden="1" x14ac:dyDescent="0.25">
      <c r="K181" s="115"/>
      <c r="L181" s="141">
        <v>4</v>
      </c>
      <c r="M181" s="140" t="s">
        <v>143</v>
      </c>
      <c r="N181" s="140"/>
      <c r="O181" s="141">
        <v>3000</v>
      </c>
      <c r="P181" s="141">
        <v>0.56000000000000005</v>
      </c>
      <c r="Q181" s="141">
        <v>1.95</v>
      </c>
      <c r="R181" s="141">
        <v>1.77</v>
      </c>
      <c r="S181" s="141">
        <v>6.12</v>
      </c>
      <c r="T181" s="141">
        <v>8.1000000000000004E-5</v>
      </c>
      <c r="U181" s="141">
        <v>6.8000000000000001E-6</v>
      </c>
      <c r="V181" s="141">
        <f t="shared" si="6"/>
        <v>8.7800000000000006E-5</v>
      </c>
      <c r="W181" s="141">
        <v>1.34</v>
      </c>
      <c r="X181" s="141">
        <v>86.3</v>
      </c>
      <c r="Y181" s="141">
        <v>21.7</v>
      </c>
    </row>
    <row r="182" spans="11:25" ht="15" hidden="1" x14ac:dyDescent="0.25">
      <c r="K182" s="115"/>
      <c r="L182" s="141">
        <v>5</v>
      </c>
      <c r="M182" s="140" t="s">
        <v>144</v>
      </c>
      <c r="N182" s="140"/>
      <c r="O182" s="141">
        <v>3500</v>
      </c>
      <c r="P182" s="141">
        <v>1.03</v>
      </c>
      <c r="Q182" s="141">
        <v>3.42</v>
      </c>
      <c r="R182" s="141">
        <v>2.81</v>
      </c>
      <c r="S182" s="141">
        <v>11.3</v>
      </c>
      <c r="T182" s="141">
        <v>1.4999999999999999E-4</v>
      </c>
      <c r="U182" s="141">
        <v>6.8000000000000001E-6</v>
      </c>
      <c r="V182" s="141">
        <f t="shared" si="6"/>
        <v>1.5679999999999999E-4</v>
      </c>
      <c r="W182" s="141">
        <v>1.26</v>
      </c>
      <c r="X182" s="141">
        <v>80.900000000000006</v>
      </c>
      <c r="Y182" s="141">
        <v>7.22</v>
      </c>
    </row>
    <row r="183" spans="11:25" ht="15" hidden="1" x14ac:dyDescent="0.25">
      <c r="K183" s="115"/>
      <c r="L183" s="141">
        <v>6</v>
      </c>
      <c r="M183" s="140" t="s">
        <v>145</v>
      </c>
      <c r="N183" s="140"/>
      <c r="O183" s="141">
        <v>2500</v>
      </c>
      <c r="P183" s="141">
        <v>1.03</v>
      </c>
      <c r="Q183" s="141">
        <v>4.7</v>
      </c>
      <c r="R183" s="141">
        <v>3.92</v>
      </c>
      <c r="S183" s="141">
        <v>15.9</v>
      </c>
      <c r="T183" s="141">
        <v>2.1000000000000001E-4</v>
      </c>
      <c r="U183" s="141">
        <v>6.8000000000000001E-6</v>
      </c>
      <c r="V183" s="141">
        <f t="shared" si="6"/>
        <v>2.1680000000000001E-4</v>
      </c>
      <c r="W183" s="141">
        <v>1.72</v>
      </c>
      <c r="X183" s="141">
        <v>111</v>
      </c>
      <c r="Y183" s="141">
        <v>8.0399999999999991</v>
      </c>
    </row>
    <row r="184" spans="11:25" ht="15" hidden="1" x14ac:dyDescent="0.25">
      <c r="K184" s="115"/>
      <c r="L184" s="141">
        <v>7</v>
      </c>
      <c r="M184" s="140" t="s">
        <v>146</v>
      </c>
      <c r="N184" s="140"/>
      <c r="O184" s="141">
        <v>4000</v>
      </c>
      <c r="P184" s="141">
        <v>1.57</v>
      </c>
      <c r="Q184" s="141">
        <v>5.88</v>
      </c>
      <c r="R184" s="141">
        <v>3.76</v>
      </c>
      <c r="S184" s="141">
        <v>20.2</v>
      </c>
      <c r="T184" s="141">
        <v>2.7E-4</v>
      </c>
      <c r="U184" s="141">
        <v>6.8000000000000001E-6</v>
      </c>
      <c r="V184" s="141">
        <f t="shared" si="6"/>
        <v>2.7680000000000001E-4</v>
      </c>
      <c r="W184" s="141">
        <v>1.19</v>
      </c>
      <c r="X184" s="141">
        <v>76.599999999999994</v>
      </c>
      <c r="Y184" s="141">
        <v>2.65</v>
      </c>
    </row>
    <row r="185" spans="11:25" ht="15" hidden="1" x14ac:dyDescent="0.25">
      <c r="K185" s="115"/>
      <c r="L185" s="141">
        <v>8</v>
      </c>
      <c r="M185" s="140" t="s">
        <v>147</v>
      </c>
      <c r="N185" s="140"/>
      <c r="O185" s="141">
        <v>2500</v>
      </c>
      <c r="P185" s="141">
        <v>1.04</v>
      </c>
      <c r="Q185" s="141">
        <v>4.7</v>
      </c>
      <c r="R185" s="141">
        <v>3.98</v>
      </c>
      <c r="S185" s="141">
        <v>11.6</v>
      </c>
      <c r="T185" s="141">
        <v>3.4000000000000002E-4</v>
      </c>
      <c r="U185" s="141">
        <v>1.7E-5</v>
      </c>
      <c r="V185" s="141">
        <f t="shared" si="6"/>
        <v>3.57E-4</v>
      </c>
      <c r="W185" s="141">
        <v>1.72</v>
      </c>
      <c r="X185" s="141">
        <v>110</v>
      </c>
      <c r="Y185" s="141">
        <v>8.4700000000000006</v>
      </c>
    </row>
    <row r="186" spans="11:25" ht="15" hidden="1" x14ac:dyDescent="0.25">
      <c r="K186" s="115"/>
      <c r="L186" s="141">
        <v>9</v>
      </c>
      <c r="M186" s="140" t="s">
        <v>148</v>
      </c>
      <c r="N186" s="140"/>
      <c r="O186" s="141">
        <v>2500</v>
      </c>
      <c r="P186" s="141">
        <v>1.85</v>
      </c>
      <c r="Q186" s="141">
        <v>8.43</v>
      </c>
      <c r="R186" s="141">
        <v>7.06</v>
      </c>
      <c r="S186" s="141">
        <v>21.5</v>
      </c>
      <c r="T186" s="141">
        <v>6.2E-4</v>
      </c>
      <c r="U186" s="141">
        <v>1.7E-5</v>
      </c>
      <c r="V186" s="141">
        <f t="shared" si="6"/>
        <v>6.3699999999999998E-4</v>
      </c>
      <c r="W186" s="141">
        <v>1.79</v>
      </c>
      <c r="X186" s="141">
        <v>115</v>
      </c>
      <c r="Y186" s="141">
        <v>3.47</v>
      </c>
    </row>
    <row r="187" spans="11:25" ht="15" hidden="1" x14ac:dyDescent="0.25">
      <c r="K187" s="115"/>
      <c r="L187" s="141">
        <v>10</v>
      </c>
      <c r="M187" s="140" t="s">
        <v>149</v>
      </c>
      <c r="N187" s="140"/>
      <c r="O187" s="141">
        <v>4000</v>
      </c>
      <c r="P187" s="141">
        <v>3.2</v>
      </c>
      <c r="Q187" s="141">
        <v>11.6</v>
      </c>
      <c r="R187" s="141">
        <v>7.65</v>
      </c>
      <c r="S187" s="141">
        <v>30.1</v>
      </c>
      <c r="T187" s="141">
        <v>9.1E-4</v>
      </c>
      <c r="U187" s="141">
        <v>1.7E-5</v>
      </c>
      <c r="V187" s="141">
        <f t="shared" si="6"/>
        <v>9.2699999999999998E-4</v>
      </c>
      <c r="W187" s="141">
        <v>1.24</v>
      </c>
      <c r="X187" s="141">
        <v>79.8</v>
      </c>
      <c r="Y187" s="141">
        <v>1</v>
      </c>
    </row>
    <row r="188" spans="11:25" ht="15" hidden="1" x14ac:dyDescent="0.25">
      <c r="K188" s="115"/>
      <c r="L188" s="141">
        <v>11</v>
      </c>
      <c r="M188" s="140" t="s">
        <v>150</v>
      </c>
      <c r="N188" s="140"/>
      <c r="O188" s="141">
        <v>3500</v>
      </c>
      <c r="P188" s="141">
        <v>3.68</v>
      </c>
      <c r="Q188" s="141">
        <v>14.4</v>
      </c>
      <c r="R188" s="141">
        <v>10.050000000000001</v>
      </c>
      <c r="S188" s="141">
        <v>38.4</v>
      </c>
      <c r="T188" s="141">
        <v>1.1999999999999999E-3</v>
      </c>
      <c r="U188" s="141">
        <v>1.7E-5</v>
      </c>
      <c r="V188" s="141">
        <f t="shared" si="6"/>
        <v>1.217E-3</v>
      </c>
      <c r="W188" s="141">
        <v>1.5</v>
      </c>
      <c r="X188" s="141">
        <v>96.6</v>
      </c>
      <c r="Y188" s="141">
        <v>1.02</v>
      </c>
    </row>
    <row r="189" spans="11:25" ht="15" hidden="1" x14ac:dyDescent="0.25">
      <c r="K189" s="115"/>
      <c r="L189" s="141">
        <v>12</v>
      </c>
      <c r="M189" s="140" t="s">
        <v>151</v>
      </c>
      <c r="N189" s="140"/>
      <c r="O189" s="141">
        <v>3500</v>
      </c>
      <c r="P189" s="141">
        <v>3.3</v>
      </c>
      <c r="Q189" s="141">
        <v>12.2</v>
      </c>
      <c r="R189" s="141">
        <v>9</v>
      </c>
      <c r="S189" s="141">
        <v>30.1</v>
      </c>
      <c r="T189" s="141">
        <v>1.6999999999999999E-3</v>
      </c>
      <c r="U189" s="141">
        <v>6.0999999999999999E-5</v>
      </c>
      <c r="V189" s="141">
        <f t="shared" si="6"/>
        <v>1.761E-3</v>
      </c>
      <c r="W189" s="141">
        <v>1.28</v>
      </c>
      <c r="X189" s="141">
        <v>82.1</v>
      </c>
      <c r="Y189" s="141">
        <v>1.05</v>
      </c>
    </row>
    <row r="190" spans="11:25" ht="15" hidden="1" x14ac:dyDescent="0.25">
      <c r="K190" s="115"/>
      <c r="L190" s="141">
        <v>13</v>
      </c>
      <c r="M190" s="140" t="s">
        <v>152</v>
      </c>
      <c r="N190" s="140"/>
      <c r="O190" s="141">
        <v>3000</v>
      </c>
      <c r="P190" s="141">
        <v>4.05</v>
      </c>
      <c r="Q190" s="141">
        <v>16.8</v>
      </c>
      <c r="R190" s="141">
        <v>12.9</v>
      </c>
      <c r="S190" s="141">
        <v>42.6</v>
      </c>
      <c r="T190" s="141">
        <v>2.3999999999999998E-3</v>
      </c>
      <c r="U190" s="141">
        <v>6.0999999999999999E-5</v>
      </c>
      <c r="V190" s="141">
        <f t="shared" si="6"/>
        <v>2.4609999999999996E-3</v>
      </c>
      <c r="W190" s="141">
        <v>1.71</v>
      </c>
      <c r="X190" s="141">
        <v>110</v>
      </c>
      <c r="Y190" s="141">
        <v>1.0900000000000001</v>
      </c>
    </row>
    <row r="191" spans="11:25" ht="15" hidden="1" x14ac:dyDescent="0.25">
      <c r="K191" s="115"/>
      <c r="L191" s="141">
        <v>14</v>
      </c>
      <c r="M191" s="140" t="s">
        <v>153</v>
      </c>
      <c r="N191" s="140"/>
      <c r="O191" s="141">
        <v>3000</v>
      </c>
      <c r="P191" s="141">
        <v>4.9000000000000004</v>
      </c>
      <c r="Q191" s="141">
        <v>21</v>
      </c>
      <c r="R191" s="141">
        <v>15.6</v>
      </c>
      <c r="S191" s="141">
        <v>54.1</v>
      </c>
      <c r="T191" s="141">
        <v>3.2000000000000002E-3</v>
      </c>
      <c r="U191" s="141">
        <v>6.0999999999999999E-5</v>
      </c>
      <c r="V191" s="141">
        <f t="shared" si="6"/>
        <v>3.261E-3</v>
      </c>
      <c r="W191" s="141">
        <v>1.66</v>
      </c>
      <c r="X191" s="141">
        <v>107</v>
      </c>
      <c r="Y191" s="141">
        <v>0.71</v>
      </c>
    </row>
    <row r="192" spans="11:25" ht="15" hidden="1" x14ac:dyDescent="0.25">
      <c r="K192" s="115"/>
      <c r="L192" s="141">
        <v>15</v>
      </c>
      <c r="M192" s="140" t="s">
        <v>154</v>
      </c>
      <c r="N192" s="140"/>
      <c r="O192" s="141">
        <v>2500</v>
      </c>
      <c r="P192" s="141">
        <v>5.03</v>
      </c>
      <c r="Q192" s="141">
        <v>25</v>
      </c>
      <c r="R192" s="141">
        <v>19.2</v>
      </c>
      <c r="S192" s="141">
        <v>65.2</v>
      </c>
      <c r="T192" s="141">
        <v>4.0000000000000001E-3</v>
      </c>
      <c r="U192" s="141">
        <v>6.0999999999999999E-5</v>
      </c>
      <c r="V192" s="141">
        <f t="shared" si="6"/>
        <v>4.0610000000000004E-3</v>
      </c>
      <c r="W192" s="141">
        <v>1.85</v>
      </c>
      <c r="X192" s="141">
        <v>119</v>
      </c>
      <c r="Y192" s="141">
        <v>0.68</v>
      </c>
    </row>
    <row r="193" spans="11:25" ht="15" hidden="1" x14ac:dyDescent="0.25">
      <c r="K193" s="115"/>
      <c r="L193" s="141">
        <v>16</v>
      </c>
      <c r="M193" s="143"/>
      <c r="N193" s="143"/>
      <c r="O193" s="143"/>
      <c r="P193" s="143"/>
      <c r="Q193" s="143"/>
      <c r="R193" s="143"/>
      <c r="S193" s="143"/>
      <c r="T193" s="143"/>
      <c r="U193" s="143"/>
      <c r="V193" s="143"/>
      <c r="W193" s="143"/>
      <c r="X193" s="143"/>
      <c r="Y193" s="143"/>
    </row>
    <row r="194" spans="11:25" ht="15" hidden="1" x14ac:dyDescent="0.25">
      <c r="K194" s="115"/>
      <c r="L194" s="141">
        <v>17</v>
      </c>
      <c r="M194" s="143"/>
      <c r="N194" s="143"/>
      <c r="O194" s="143"/>
      <c r="P194" s="143"/>
      <c r="Q194" s="143"/>
      <c r="R194" s="143"/>
      <c r="S194" s="143"/>
      <c r="T194" s="143"/>
      <c r="U194" s="143"/>
      <c r="V194" s="143"/>
      <c r="W194" s="143"/>
      <c r="X194" s="143"/>
      <c r="Y194" s="143"/>
    </row>
    <row r="195" spans="11:25" ht="15" hidden="1" x14ac:dyDescent="0.25">
      <c r="K195" s="115"/>
      <c r="L195" s="141">
        <v>18</v>
      </c>
      <c r="M195" s="143"/>
      <c r="N195" s="143"/>
      <c r="O195" s="143"/>
      <c r="P195" s="143"/>
      <c r="Q195" s="143"/>
      <c r="R195" s="143"/>
      <c r="S195" s="143"/>
      <c r="T195" s="143"/>
      <c r="U195" s="143"/>
      <c r="V195" s="143"/>
      <c r="W195" s="143"/>
      <c r="X195" s="143"/>
      <c r="Y195" s="143"/>
    </row>
    <row r="196" spans="11:25" ht="15" hidden="1" x14ac:dyDescent="0.25">
      <c r="K196" s="115"/>
      <c r="L196" s="141">
        <v>19</v>
      </c>
      <c r="M196" s="143"/>
      <c r="N196" s="143"/>
      <c r="O196" s="143"/>
      <c r="P196" s="143"/>
      <c r="Q196" s="143"/>
      <c r="R196" s="143"/>
      <c r="S196" s="143"/>
      <c r="T196" s="143"/>
      <c r="U196" s="143"/>
      <c r="V196" s="143"/>
      <c r="W196" s="143"/>
      <c r="X196" s="143"/>
      <c r="Y196" s="143"/>
    </row>
    <row r="197" spans="11:25" ht="15" hidden="1" x14ac:dyDescent="0.25">
      <c r="K197" s="115"/>
      <c r="L197" s="141">
        <v>20</v>
      </c>
      <c r="M197" s="143"/>
      <c r="N197" s="143"/>
      <c r="O197" s="143"/>
      <c r="P197" s="143"/>
      <c r="Q197" s="143"/>
      <c r="R197" s="143"/>
      <c r="S197" s="143"/>
      <c r="T197" s="143"/>
      <c r="U197" s="143"/>
      <c r="V197" s="143"/>
      <c r="W197" s="143"/>
      <c r="X197" s="143"/>
      <c r="Y197" s="143"/>
    </row>
    <row r="198" spans="11:25" ht="15" hidden="1" x14ac:dyDescent="0.25">
      <c r="K198" s="115"/>
      <c r="L198" s="141">
        <v>21</v>
      </c>
      <c r="M198" s="143"/>
      <c r="N198" s="143"/>
      <c r="O198" s="143"/>
      <c r="P198" s="143"/>
      <c r="Q198" s="143"/>
      <c r="R198" s="143"/>
      <c r="S198" s="143"/>
      <c r="T198" s="143"/>
      <c r="U198" s="143"/>
      <c r="V198" s="143"/>
      <c r="W198" s="143"/>
      <c r="X198" s="143"/>
      <c r="Y198" s="143"/>
    </row>
    <row r="199" spans="11:25" ht="15" hidden="1" x14ac:dyDescent="0.25">
      <c r="K199" s="115"/>
      <c r="L199" s="141">
        <v>22</v>
      </c>
      <c r="M199" s="143"/>
      <c r="N199" s="143"/>
      <c r="O199" s="143"/>
      <c r="P199" s="143"/>
      <c r="Q199" s="143"/>
      <c r="R199" s="143"/>
      <c r="S199" s="143"/>
      <c r="T199" s="143"/>
      <c r="U199" s="143"/>
      <c r="V199" s="143"/>
      <c r="W199" s="143"/>
      <c r="X199" s="143"/>
      <c r="Y199" s="143"/>
    </row>
    <row r="200" spans="11:25" ht="15" hidden="1" x14ac:dyDescent="0.25">
      <c r="K200" s="115"/>
      <c r="L200" s="141">
        <v>23</v>
      </c>
      <c r="M200" s="143"/>
      <c r="N200" s="143"/>
      <c r="O200" s="143"/>
      <c r="P200" s="143"/>
      <c r="Q200" s="143"/>
      <c r="R200" s="143"/>
      <c r="S200" s="143"/>
      <c r="T200" s="143"/>
      <c r="U200" s="143"/>
      <c r="V200" s="143"/>
      <c r="W200" s="143"/>
      <c r="X200" s="143"/>
      <c r="Y200" s="143"/>
    </row>
    <row r="201" spans="11:25" ht="15" hidden="1" x14ac:dyDescent="0.25">
      <c r="K201" s="115"/>
      <c r="L201" s="141">
        <v>24</v>
      </c>
      <c r="M201" s="143"/>
      <c r="N201" s="143"/>
      <c r="O201" s="143"/>
      <c r="P201" s="143"/>
      <c r="Q201" s="143"/>
      <c r="R201" s="143"/>
      <c r="S201" s="143"/>
      <c r="T201" s="143"/>
      <c r="U201" s="143"/>
      <c r="V201" s="143"/>
      <c r="W201" s="143"/>
      <c r="X201" s="143"/>
      <c r="Y201" s="143"/>
    </row>
    <row r="202" spans="11:25" hidden="1" x14ac:dyDescent="0.2">
      <c r="K202" s="115"/>
      <c r="L202" s="143"/>
      <c r="M202" s="143"/>
      <c r="N202" s="143"/>
      <c r="O202" s="143"/>
      <c r="P202" s="143"/>
      <c r="Q202" s="143"/>
      <c r="R202" s="143"/>
      <c r="S202" s="143"/>
      <c r="T202" s="143"/>
      <c r="U202" s="143"/>
      <c r="V202" s="143"/>
      <c r="W202" s="143"/>
      <c r="X202" s="143"/>
      <c r="Y202" s="143"/>
    </row>
    <row r="203" spans="11:25" hidden="1" x14ac:dyDescent="0.2">
      <c r="K203" s="115"/>
    </row>
    <row r="204" spans="11:25" hidden="1" x14ac:dyDescent="0.2">
      <c r="K204" s="115"/>
    </row>
    <row r="205" spans="11:25" hidden="1" x14ac:dyDescent="0.2">
      <c r="K205" s="115"/>
      <c r="M205" s="143" t="s">
        <v>188</v>
      </c>
      <c r="N205" s="143"/>
      <c r="O205" s="144" t="s">
        <v>129</v>
      </c>
      <c r="P205" s="144" t="s">
        <v>132</v>
      </c>
      <c r="Q205" s="144" t="s">
        <v>27</v>
      </c>
      <c r="R205" s="143" t="s">
        <v>155</v>
      </c>
    </row>
    <row r="206" spans="11:25" ht="15" hidden="1" x14ac:dyDescent="0.25">
      <c r="K206" s="115"/>
      <c r="L206" s="143"/>
      <c r="M206" s="156" t="str">
        <f>VLOOKUP($L$274,$L$207:M230,M$174)</f>
        <v>IEC90 1500 rpm 1,5 kW</v>
      </c>
      <c r="N206" s="156"/>
      <c r="O206" s="156">
        <f>VLOOKUP($L$274,$L$204:O227,O$174)</f>
        <v>1420</v>
      </c>
      <c r="P206" s="156">
        <f>VLOOKUP($L$274,$L$204:P227,P$174)</f>
        <v>1.5</v>
      </c>
      <c r="Q206" s="156">
        <f>VLOOKUP($L$274,$L$204:Q227,Q$174)</f>
        <v>10.289070422535213</v>
      </c>
      <c r="R206" s="156">
        <f>VLOOKUP($L$274,$L$204:R227,R$174)</f>
        <v>2.8E-3</v>
      </c>
    </row>
    <row r="207" spans="11:25" hidden="1" x14ac:dyDescent="0.2">
      <c r="K207" s="115"/>
      <c r="L207" s="144">
        <v>1</v>
      </c>
      <c r="M207" s="145" t="s">
        <v>156</v>
      </c>
      <c r="N207" s="143"/>
      <c r="O207" s="144">
        <v>2750</v>
      </c>
      <c r="P207" s="144">
        <v>0.25</v>
      </c>
      <c r="Q207" s="146">
        <f t="shared" ref="Q207:Q222" si="7">71620*1.36*P207/O207/10</f>
        <v>0.88548363636363647</v>
      </c>
      <c r="R207" s="144">
        <v>2.3000000000000001E-4</v>
      </c>
    </row>
    <row r="208" spans="11:25" hidden="1" x14ac:dyDescent="0.2">
      <c r="K208" s="115"/>
      <c r="L208" s="144">
        <v>2</v>
      </c>
      <c r="M208" s="145" t="s">
        <v>157</v>
      </c>
      <c r="N208" s="143"/>
      <c r="O208" s="144">
        <v>2750</v>
      </c>
      <c r="P208" s="144">
        <v>0.25</v>
      </c>
      <c r="Q208" s="146">
        <f t="shared" si="7"/>
        <v>0.88548363636363647</v>
      </c>
      <c r="R208" s="144">
        <v>2.5000000000000001E-4</v>
      </c>
    </row>
    <row r="209" spans="11:18" hidden="1" x14ac:dyDescent="0.2">
      <c r="K209" s="115"/>
      <c r="L209" s="144">
        <v>3</v>
      </c>
      <c r="M209" s="145" t="s">
        <v>158</v>
      </c>
      <c r="N209" s="143"/>
      <c r="O209" s="144">
        <v>1360</v>
      </c>
      <c r="P209" s="144">
        <v>0.18</v>
      </c>
      <c r="Q209" s="146">
        <f t="shared" si="7"/>
        <v>1.2891600000000001</v>
      </c>
      <c r="R209" s="144">
        <v>2.5000000000000001E-4</v>
      </c>
    </row>
    <row r="210" spans="11:18" hidden="1" x14ac:dyDescent="0.2">
      <c r="K210" s="115"/>
      <c r="L210" s="144">
        <v>4</v>
      </c>
      <c r="M210" s="145" t="s">
        <v>159</v>
      </c>
      <c r="N210" s="143"/>
      <c r="O210" s="144">
        <v>1360</v>
      </c>
      <c r="P210" s="144">
        <v>0.18</v>
      </c>
      <c r="Q210" s="146">
        <f t="shared" si="7"/>
        <v>1.2891600000000001</v>
      </c>
      <c r="R210" s="144">
        <v>3.5E-4</v>
      </c>
    </row>
    <row r="211" spans="11:18" hidden="1" x14ac:dyDescent="0.2">
      <c r="K211" s="115"/>
      <c r="L211" s="144">
        <v>5</v>
      </c>
      <c r="M211" s="145" t="s">
        <v>160</v>
      </c>
      <c r="N211" s="143"/>
      <c r="O211" s="144">
        <v>2760</v>
      </c>
      <c r="P211" s="144">
        <v>0.55000000000000004</v>
      </c>
      <c r="Q211" s="146">
        <f t="shared" si="7"/>
        <v>1.9410057971014496</v>
      </c>
      <c r="R211" s="144">
        <v>4.2000000000000002E-4</v>
      </c>
    </row>
    <row r="212" spans="11:18" hidden="1" x14ac:dyDescent="0.2">
      <c r="K212" s="115"/>
      <c r="L212" s="144">
        <v>6</v>
      </c>
      <c r="M212" s="145" t="s">
        <v>161</v>
      </c>
      <c r="N212" s="143"/>
      <c r="O212" s="144">
        <v>2760</v>
      </c>
      <c r="P212" s="144">
        <v>0.55000000000000004</v>
      </c>
      <c r="Q212" s="146">
        <v>1.9</v>
      </c>
      <c r="R212" s="144">
        <v>4.8999999999999998E-4</v>
      </c>
    </row>
    <row r="213" spans="11:18" hidden="1" x14ac:dyDescent="0.2">
      <c r="K213" s="115"/>
      <c r="L213" s="144">
        <v>7</v>
      </c>
      <c r="M213" s="145" t="s">
        <v>162</v>
      </c>
      <c r="N213" s="143"/>
      <c r="O213" s="144">
        <v>1370</v>
      </c>
      <c r="P213" s="144">
        <v>0.37</v>
      </c>
      <c r="Q213" s="146">
        <f t="shared" si="7"/>
        <v>2.6305973722627738</v>
      </c>
      <c r="R213" s="147">
        <v>8.0999999999999996E-4</v>
      </c>
    </row>
    <row r="214" spans="11:18" hidden="1" x14ac:dyDescent="0.2">
      <c r="K214" s="115"/>
      <c r="L214" s="144">
        <v>8</v>
      </c>
      <c r="M214" s="145" t="s">
        <v>163</v>
      </c>
      <c r="N214" s="143"/>
      <c r="O214" s="144">
        <v>1370</v>
      </c>
      <c r="P214" s="144">
        <v>0.37</v>
      </c>
      <c r="Q214" s="146">
        <f t="shared" si="7"/>
        <v>2.6305973722627738</v>
      </c>
      <c r="R214" s="144">
        <v>9.3999999999999997E-4</v>
      </c>
    </row>
    <row r="215" spans="11:18" hidden="1" x14ac:dyDescent="0.2">
      <c r="K215" s="115"/>
      <c r="L215" s="144">
        <v>9</v>
      </c>
      <c r="M215" s="145" t="s">
        <v>164</v>
      </c>
      <c r="N215" s="143"/>
      <c r="O215" s="144">
        <v>2840</v>
      </c>
      <c r="P215" s="144">
        <v>1.1000000000000001</v>
      </c>
      <c r="Q215" s="146">
        <f t="shared" si="7"/>
        <v>3.7726591549295785</v>
      </c>
      <c r="R215" s="144">
        <v>9.7999999999999997E-4</v>
      </c>
    </row>
    <row r="216" spans="11:18" hidden="1" x14ac:dyDescent="0.2">
      <c r="K216" s="115"/>
      <c r="L216" s="144">
        <v>10</v>
      </c>
      <c r="M216" s="145" t="s">
        <v>165</v>
      </c>
      <c r="N216" s="143"/>
      <c r="O216" s="144">
        <v>2840</v>
      </c>
      <c r="P216" s="144">
        <v>1.1000000000000001</v>
      </c>
      <c r="Q216" s="146">
        <f t="shared" si="7"/>
        <v>3.7726591549295785</v>
      </c>
      <c r="R216" s="144">
        <f>0.000061+R215</f>
        <v>1.041E-3</v>
      </c>
    </row>
    <row r="217" spans="11:18" hidden="1" x14ac:dyDescent="0.2">
      <c r="K217" s="115"/>
      <c r="L217" s="144">
        <v>11</v>
      </c>
      <c r="M217" s="145" t="s">
        <v>166</v>
      </c>
      <c r="N217" s="143"/>
      <c r="O217" s="144">
        <v>1380</v>
      </c>
      <c r="P217" s="144">
        <v>0.75</v>
      </c>
      <c r="Q217" s="146">
        <f t="shared" si="7"/>
        <v>5.2936521739130438</v>
      </c>
      <c r="R217" s="144">
        <v>1.874E-3</v>
      </c>
    </row>
    <row r="218" spans="11:18" hidden="1" x14ac:dyDescent="0.2">
      <c r="K218" s="115"/>
      <c r="L218" s="144">
        <v>12</v>
      </c>
      <c r="M218" s="145" t="s">
        <v>167</v>
      </c>
      <c r="N218" s="143"/>
      <c r="O218" s="144">
        <v>1380</v>
      </c>
      <c r="P218" s="144">
        <v>0.75</v>
      </c>
      <c r="Q218" s="146">
        <f t="shared" si="7"/>
        <v>5.2936521739130438</v>
      </c>
      <c r="R218" s="144">
        <f>0.000061+R217</f>
        <v>1.9350000000000001E-3</v>
      </c>
    </row>
    <row r="219" spans="11:18" hidden="1" x14ac:dyDescent="0.2">
      <c r="K219" s="115"/>
      <c r="L219" s="144">
        <v>13</v>
      </c>
      <c r="M219" s="145" t="s">
        <v>168</v>
      </c>
      <c r="N219" s="143"/>
      <c r="O219" s="144">
        <v>2860</v>
      </c>
      <c r="P219" s="144">
        <v>2.2000000000000002</v>
      </c>
      <c r="Q219" s="146">
        <v>7.3</v>
      </c>
      <c r="R219" s="147">
        <v>1.6100000000000001E-3</v>
      </c>
    </row>
    <row r="220" spans="11:18" hidden="1" x14ac:dyDescent="0.2">
      <c r="K220" s="115"/>
      <c r="L220" s="144">
        <v>14</v>
      </c>
      <c r="M220" s="145" t="s">
        <v>169</v>
      </c>
      <c r="N220" s="143"/>
      <c r="O220" s="144">
        <v>2850</v>
      </c>
      <c r="P220" s="144">
        <v>2.2000000000000002</v>
      </c>
      <c r="Q220" s="146">
        <f t="shared" si="7"/>
        <v>7.5188435087719316</v>
      </c>
      <c r="R220" s="147">
        <f>0.0002+R219</f>
        <v>1.8100000000000002E-3</v>
      </c>
    </row>
    <row r="221" spans="11:18" hidden="1" x14ac:dyDescent="0.2">
      <c r="K221" s="115"/>
      <c r="L221" s="144">
        <v>15</v>
      </c>
      <c r="M221" s="145" t="s">
        <v>170</v>
      </c>
      <c r="N221" s="143"/>
      <c r="O221" s="144">
        <v>1420</v>
      </c>
      <c r="P221" s="144">
        <v>1.5</v>
      </c>
      <c r="Q221" s="146">
        <f t="shared" si="7"/>
        <v>10.289070422535213</v>
      </c>
      <c r="R221" s="147">
        <v>2.8E-3</v>
      </c>
    </row>
    <row r="222" spans="11:18" hidden="1" x14ac:dyDescent="0.2">
      <c r="K222" s="115"/>
      <c r="L222" s="144">
        <v>16</v>
      </c>
      <c r="M222" s="145" t="s">
        <v>171</v>
      </c>
      <c r="N222" s="143"/>
      <c r="O222" s="144">
        <v>1420</v>
      </c>
      <c r="P222" s="144">
        <v>1.5</v>
      </c>
      <c r="Q222" s="146">
        <f t="shared" si="7"/>
        <v>10.289070422535213</v>
      </c>
      <c r="R222" s="147">
        <v>4.1000000000000003E-3</v>
      </c>
    </row>
    <row r="223" spans="11:18" hidden="1" x14ac:dyDescent="0.2">
      <c r="K223" s="115"/>
      <c r="L223" s="144">
        <v>17</v>
      </c>
      <c r="M223" s="145" t="s">
        <v>172</v>
      </c>
      <c r="N223" s="143"/>
      <c r="O223" s="144">
        <v>2850</v>
      </c>
      <c r="P223" s="144">
        <v>3</v>
      </c>
      <c r="Q223" s="144">
        <v>9.9</v>
      </c>
      <c r="R223" s="144">
        <v>3.2000000000000002E-3</v>
      </c>
    </row>
    <row r="224" spans="11:18" hidden="1" x14ac:dyDescent="0.2">
      <c r="K224" s="115"/>
      <c r="L224" s="144">
        <v>18</v>
      </c>
      <c r="M224" s="145" t="s">
        <v>173</v>
      </c>
      <c r="N224" s="143"/>
      <c r="O224" s="144">
        <v>2850</v>
      </c>
      <c r="P224" s="144">
        <v>3</v>
      </c>
      <c r="Q224" s="144">
        <v>9.9</v>
      </c>
      <c r="R224" s="148">
        <v>4.2700000000000004E-3</v>
      </c>
    </row>
    <row r="225" spans="11:18" hidden="1" x14ac:dyDescent="0.2">
      <c r="K225" s="115"/>
      <c r="L225" s="144">
        <v>19</v>
      </c>
      <c r="M225" s="149" t="s">
        <v>174</v>
      </c>
      <c r="N225" s="150"/>
      <c r="O225" s="151">
        <v>1430</v>
      </c>
      <c r="P225" s="151">
        <v>3</v>
      </c>
      <c r="Q225" s="151">
        <v>20</v>
      </c>
      <c r="R225" s="151">
        <v>6.0000000000000001E-3</v>
      </c>
    </row>
    <row r="226" spans="11:18" hidden="1" x14ac:dyDescent="0.2">
      <c r="K226" s="115"/>
      <c r="L226" s="144">
        <v>20</v>
      </c>
      <c r="M226" s="149" t="s">
        <v>175</v>
      </c>
      <c r="N226" s="150"/>
      <c r="O226" s="151">
        <v>1430</v>
      </c>
      <c r="P226" s="151">
        <v>3</v>
      </c>
      <c r="Q226" s="151">
        <v>20</v>
      </c>
      <c r="R226" s="151">
        <v>1.01E-2</v>
      </c>
    </row>
    <row r="227" spans="11:18" hidden="1" x14ac:dyDescent="0.2">
      <c r="K227" s="115"/>
      <c r="L227" s="144">
        <v>21</v>
      </c>
      <c r="M227" s="149" t="s">
        <v>176</v>
      </c>
      <c r="N227" s="150"/>
      <c r="O227" s="151">
        <v>2890</v>
      </c>
      <c r="P227" s="151">
        <v>4</v>
      </c>
      <c r="Q227" s="151">
        <v>13.2</v>
      </c>
      <c r="R227" s="151">
        <v>4.9899999999999996E-3</v>
      </c>
    </row>
    <row r="228" spans="11:18" hidden="1" x14ac:dyDescent="0.2">
      <c r="K228" s="115"/>
      <c r="L228" s="144">
        <v>22</v>
      </c>
      <c r="M228" s="149" t="s">
        <v>177</v>
      </c>
      <c r="N228" s="150"/>
      <c r="O228" s="151">
        <v>2890</v>
      </c>
      <c r="P228" s="151">
        <v>4</v>
      </c>
      <c r="Q228" s="151">
        <v>13.2</v>
      </c>
      <c r="R228" s="151">
        <v>8.3000000000000001E-3</v>
      </c>
    </row>
    <row r="229" spans="11:18" hidden="1" x14ac:dyDescent="0.2">
      <c r="K229" s="115"/>
      <c r="L229" s="144">
        <v>23</v>
      </c>
      <c r="M229" s="149" t="s">
        <v>178</v>
      </c>
      <c r="N229" s="150"/>
      <c r="O229" s="151">
        <v>1420</v>
      </c>
      <c r="P229" s="151">
        <v>4</v>
      </c>
      <c r="Q229" s="151">
        <v>26.6</v>
      </c>
      <c r="R229" s="151">
        <v>1.1140000000000001E-2</v>
      </c>
    </row>
    <row r="230" spans="11:18" hidden="1" x14ac:dyDescent="0.2">
      <c r="K230" s="115"/>
      <c r="L230" s="144">
        <v>24</v>
      </c>
      <c r="M230" s="149" t="s">
        <v>179</v>
      </c>
      <c r="N230" s="150"/>
      <c r="O230" s="151">
        <v>1420</v>
      </c>
      <c r="P230" s="151">
        <v>4</v>
      </c>
      <c r="Q230" s="151">
        <v>26.6</v>
      </c>
      <c r="R230" s="151">
        <v>0.02</v>
      </c>
    </row>
    <row r="231" spans="11:18" hidden="1" x14ac:dyDescent="0.2">
      <c r="K231" s="115"/>
      <c r="L231" s="144"/>
      <c r="M231" s="145"/>
      <c r="N231" s="143"/>
      <c r="O231" s="144"/>
      <c r="P231" s="144"/>
      <c r="Q231" s="146"/>
      <c r="R231" s="147"/>
    </row>
    <row r="232" spans="11:18" hidden="1" x14ac:dyDescent="0.2">
      <c r="K232" s="115"/>
      <c r="L232" s="144"/>
      <c r="M232" s="145"/>
      <c r="N232" s="143"/>
      <c r="O232" s="144"/>
      <c r="P232" s="144"/>
      <c r="Q232" s="146"/>
      <c r="R232" s="147"/>
    </row>
    <row r="233" spans="11:18" hidden="1" x14ac:dyDescent="0.2">
      <c r="K233" s="115"/>
      <c r="O233" s="152" t="s">
        <v>180</v>
      </c>
      <c r="P233" s="144" t="s">
        <v>126</v>
      </c>
    </row>
    <row r="234" spans="11:18" ht="15" hidden="1" x14ac:dyDescent="0.25">
      <c r="K234" s="115"/>
      <c r="L234" s="143"/>
      <c r="M234" s="156" t="str">
        <f>VLOOKUP($L$274,$L$235:M258,M$174)</f>
        <v>-</v>
      </c>
      <c r="N234" s="156">
        <f>VLOOKUP($L$274,$L$232:N255,N$174)</f>
        <v>0</v>
      </c>
      <c r="O234" s="156" t="str">
        <f>VLOOKUP($L$274,$L$232:O255,O$174)</f>
        <v>-</v>
      </c>
      <c r="P234" s="156" t="str">
        <f>VLOOKUP($L$274,$L$232:P255,P$174)</f>
        <v>-</v>
      </c>
    </row>
    <row r="235" spans="11:18" hidden="1" x14ac:dyDescent="0.2">
      <c r="K235" s="115"/>
      <c r="L235" s="144">
        <v>1</v>
      </c>
      <c r="M235" s="143" t="s">
        <v>181</v>
      </c>
      <c r="N235" s="143"/>
      <c r="O235" s="144">
        <v>1.2</v>
      </c>
      <c r="P235" s="144">
        <v>2.4000000000000001E-5</v>
      </c>
    </row>
    <row r="236" spans="11:18" hidden="1" x14ac:dyDescent="0.2">
      <c r="K236" s="115"/>
      <c r="L236" s="144">
        <v>2</v>
      </c>
      <c r="M236" s="143" t="s">
        <v>182</v>
      </c>
      <c r="N236" s="143"/>
      <c r="O236" s="144">
        <v>1.77</v>
      </c>
      <c r="P236" s="153">
        <v>3.9499999999999998E-5</v>
      </c>
    </row>
    <row r="237" spans="11:18" hidden="1" x14ac:dyDescent="0.2">
      <c r="K237" s="115"/>
      <c r="L237" s="144">
        <v>3</v>
      </c>
      <c r="M237" s="143" t="s">
        <v>183</v>
      </c>
      <c r="N237" s="143"/>
      <c r="O237" s="144">
        <v>2.4700000000000002</v>
      </c>
      <c r="P237" s="153">
        <v>5.9299999999999998E-5</v>
      </c>
    </row>
    <row r="238" spans="11:18" hidden="1" x14ac:dyDescent="0.2">
      <c r="K238" s="115"/>
      <c r="L238" s="144">
        <v>4</v>
      </c>
      <c r="M238" s="143" t="s">
        <v>184</v>
      </c>
      <c r="N238" s="143"/>
      <c r="O238" s="144">
        <v>2.72</v>
      </c>
      <c r="P238" s="153">
        <v>1.13E-4</v>
      </c>
    </row>
    <row r="239" spans="11:18" hidden="1" x14ac:dyDescent="0.2">
      <c r="K239" s="115"/>
      <c r="L239" s="144">
        <v>5</v>
      </c>
      <c r="M239" s="143" t="s">
        <v>185</v>
      </c>
      <c r="N239" s="143"/>
      <c r="O239" s="144">
        <v>5.44</v>
      </c>
      <c r="P239" s="153">
        <v>2.1900000000000001E-4</v>
      </c>
    </row>
    <row r="240" spans="11:18" hidden="1" x14ac:dyDescent="0.2">
      <c r="K240" s="115"/>
      <c r="L240" s="144">
        <v>6</v>
      </c>
      <c r="M240" s="143" t="s">
        <v>186</v>
      </c>
      <c r="N240" s="143"/>
      <c r="O240" s="144">
        <v>8.16</v>
      </c>
      <c r="P240" s="153">
        <v>3.3199999999999999E-4</v>
      </c>
    </row>
    <row r="241" spans="11:16" hidden="1" x14ac:dyDescent="0.2">
      <c r="K241" s="115"/>
      <c r="L241" s="144">
        <v>7</v>
      </c>
      <c r="M241" s="144" t="s">
        <v>187</v>
      </c>
      <c r="N241" s="143"/>
      <c r="O241" s="144" t="s">
        <v>187</v>
      </c>
      <c r="P241" s="144" t="s">
        <v>187</v>
      </c>
    </row>
    <row r="242" spans="11:16" hidden="1" x14ac:dyDescent="0.2">
      <c r="K242" s="115"/>
      <c r="L242" s="144">
        <v>8</v>
      </c>
      <c r="M242" s="144" t="s">
        <v>187</v>
      </c>
      <c r="N242" s="143"/>
      <c r="O242" s="144" t="s">
        <v>187</v>
      </c>
      <c r="P242" s="144" t="s">
        <v>187</v>
      </c>
    </row>
    <row r="243" spans="11:16" hidden="1" x14ac:dyDescent="0.2">
      <c r="K243" s="115"/>
      <c r="L243" s="144">
        <v>9</v>
      </c>
      <c r="M243" s="144" t="s">
        <v>187</v>
      </c>
      <c r="N243" s="143"/>
      <c r="O243" s="144" t="s">
        <v>187</v>
      </c>
      <c r="P243" s="144" t="s">
        <v>187</v>
      </c>
    </row>
    <row r="244" spans="11:16" hidden="1" x14ac:dyDescent="0.2">
      <c r="K244" s="115"/>
      <c r="L244" s="144">
        <v>10</v>
      </c>
      <c r="M244" s="144" t="s">
        <v>187</v>
      </c>
      <c r="N244" s="143"/>
      <c r="O244" s="144" t="s">
        <v>187</v>
      </c>
      <c r="P244" s="144" t="s">
        <v>187</v>
      </c>
    </row>
    <row r="245" spans="11:16" hidden="1" x14ac:dyDescent="0.2">
      <c r="K245" s="115"/>
      <c r="L245" s="144">
        <v>11</v>
      </c>
      <c r="M245" s="144" t="s">
        <v>187</v>
      </c>
      <c r="N245" s="143"/>
      <c r="O245" s="144" t="s">
        <v>187</v>
      </c>
      <c r="P245" s="144" t="s">
        <v>187</v>
      </c>
    </row>
    <row r="246" spans="11:16" hidden="1" x14ac:dyDescent="0.2">
      <c r="K246" s="115"/>
      <c r="L246" s="144">
        <v>12</v>
      </c>
      <c r="M246" s="144" t="s">
        <v>187</v>
      </c>
      <c r="N246" s="143"/>
      <c r="O246" s="144" t="s">
        <v>187</v>
      </c>
      <c r="P246" s="144" t="s">
        <v>187</v>
      </c>
    </row>
    <row r="247" spans="11:16" hidden="1" x14ac:dyDescent="0.2">
      <c r="K247" s="115"/>
      <c r="L247" s="144">
        <v>13</v>
      </c>
      <c r="M247" s="144" t="s">
        <v>187</v>
      </c>
      <c r="N247" s="143"/>
      <c r="O247" s="144" t="s">
        <v>187</v>
      </c>
      <c r="P247" s="144" t="s">
        <v>187</v>
      </c>
    </row>
    <row r="248" spans="11:16" hidden="1" x14ac:dyDescent="0.2">
      <c r="K248" s="115"/>
      <c r="L248" s="144">
        <v>14</v>
      </c>
      <c r="M248" s="144" t="s">
        <v>187</v>
      </c>
      <c r="N248" s="143"/>
      <c r="O248" s="144" t="s">
        <v>187</v>
      </c>
      <c r="P248" s="144" t="s">
        <v>187</v>
      </c>
    </row>
    <row r="249" spans="11:16" hidden="1" x14ac:dyDescent="0.2">
      <c r="K249" s="115"/>
      <c r="L249" s="144">
        <v>15</v>
      </c>
      <c r="M249" s="144" t="s">
        <v>187</v>
      </c>
      <c r="N249" s="143"/>
      <c r="O249" s="144" t="s">
        <v>187</v>
      </c>
      <c r="P249" s="144" t="s">
        <v>187</v>
      </c>
    </row>
    <row r="250" spans="11:16" hidden="1" x14ac:dyDescent="0.2">
      <c r="K250" s="115"/>
      <c r="L250" s="144">
        <v>16</v>
      </c>
      <c r="M250" s="144" t="s">
        <v>187</v>
      </c>
      <c r="N250" s="143"/>
      <c r="O250" s="144" t="s">
        <v>187</v>
      </c>
      <c r="P250" s="144" t="s">
        <v>187</v>
      </c>
    </row>
    <row r="251" spans="11:16" hidden="1" x14ac:dyDescent="0.2">
      <c r="K251" s="115"/>
      <c r="L251" s="144">
        <v>17</v>
      </c>
      <c r="M251" s="144" t="s">
        <v>187</v>
      </c>
      <c r="N251" s="143"/>
      <c r="O251" s="144" t="s">
        <v>187</v>
      </c>
      <c r="P251" s="144" t="s">
        <v>187</v>
      </c>
    </row>
    <row r="252" spans="11:16" hidden="1" x14ac:dyDescent="0.2">
      <c r="K252" s="115"/>
      <c r="L252" s="144">
        <v>18</v>
      </c>
      <c r="M252" s="144" t="s">
        <v>187</v>
      </c>
      <c r="N252" s="143"/>
      <c r="O252" s="144" t="s">
        <v>187</v>
      </c>
      <c r="P252" s="144" t="s">
        <v>187</v>
      </c>
    </row>
    <row r="253" spans="11:16" hidden="1" x14ac:dyDescent="0.2">
      <c r="K253" s="115"/>
      <c r="L253" s="144">
        <v>19</v>
      </c>
      <c r="M253" s="144" t="s">
        <v>187</v>
      </c>
      <c r="N253" s="143"/>
      <c r="O253" s="144" t="s">
        <v>187</v>
      </c>
      <c r="P253" s="144" t="s">
        <v>187</v>
      </c>
    </row>
    <row r="254" spans="11:16" hidden="1" x14ac:dyDescent="0.2">
      <c r="K254" s="115"/>
      <c r="L254" s="144">
        <v>20</v>
      </c>
      <c r="M254" s="144" t="s">
        <v>187</v>
      </c>
      <c r="N254" s="143"/>
      <c r="O254" s="144" t="s">
        <v>187</v>
      </c>
      <c r="P254" s="144" t="s">
        <v>187</v>
      </c>
    </row>
    <row r="255" spans="11:16" hidden="1" x14ac:dyDescent="0.2">
      <c r="K255" s="115"/>
      <c r="L255" s="144">
        <v>21</v>
      </c>
      <c r="M255" s="144" t="s">
        <v>187</v>
      </c>
      <c r="N255" s="143"/>
      <c r="O255" s="144" t="s">
        <v>187</v>
      </c>
      <c r="P255" s="144" t="s">
        <v>187</v>
      </c>
    </row>
    <row r="256" spans="11:16" hidden="1" x14ac:dyDescent="0.2">
      <c r="K256" s="115"/>
      <c r="L256" s="144">
        <v>22</v>
      </c>
      <c r="M256" s="144" t="s">
        <v>187</v>
      </c>
      <c r="N256" s="143"/>
      <c r="O256" s="144" t="s">
        <v>187</v>
      </c>
      <c r="P256" s="144" t="s">
        <v>187</v>
      </c>
    </row>
    <row r="257" spans="11:16" hidden="1" x14ac:dyDescent="0.2">
      <c r="K257" s="115"/>
      <c r="L257" s="144">
        <v>23</v>
      </c>
      <c r="M257" s="144" t="s">
        <v>187</v>
      </c>
      <c r="N257" s="143"/>
      <c r="O257" s="144" t="s">
        <v>187</v>
      </c>
      <c r="P257" s="144" t="s">
        <v>187</v>
      </c>
    </row>
    <row r="258" spans="11:16" hidden="1" x14ac:dyDescent="0.2">
      <c r="K258" s="115"/>
      <c r="L258" s="144">
        <v>24</v>
      </c>
      <c r="M258" s="144" t="s">
        <v>187</v>
      </c>
      <c r="N258" s="143"/>
      <c r="O258" s="144" t="s">
        <v>187</v>
      </c>
      <c r="P258" s="144" t="s">
        <v>187</v>
      </c>
    </row>
    <row r="259" spans="11:16" hidden="1" x14ac:dyDescent="0.2">
      <c r="K259" s="115"/>
    </row>
    <row r="260" spans="11:16" hidden="1" x14ac:dyDescent="0.2">
      <c r="K260" s="115"/>
    </row>
    <row r="261" spans="11:16" hidden="1" x14ac:dyDescent="0.2">
      <c r="K261" s="115"/>
    </row>
    <row r="262" spans="11:16" hidden="1" x14ac:dyDescent="0.2">
      <c r="K262" s="115"/>
      <c r="L262" s="112">
        <v>2</v>
      </c>
    </row>
    <row r="263" spans="11:16" hidden="1" x14ac:dyDescent="0.2">
      <c r="K263" s="115"/>
      <c r="L263" s="16">
        <v>1</v>
      </c>
      <c r="M263" s="16" t="s">
        <v>190</v>
      </c>
    </row>
    <row r="264" spans="11:16" hidden="1" x14ac:dyDescent="0.2">
      <c r="K264" s="115"/>
      <c r="L264" s="16">
        <v>2</v>
      </c>
      <c r="M264" s="16" t="s">
        <v>191</v>
      </c>
    </row>
    <row r="265" spans="11:16" hidden="1" x14ac:dyDescent="0.2">
      <c r="K265" s="115"/>
    </row>
    <row r="266" spans="11:16" hidden="1" x14ac:dyDescent="0.2">
      <c r="K266" s="115"/>
      <c r="L266" s="112">
        <v>5</v>
      </c>
      <c r="O266" s="112">
        <v>2</v>
      </c>
    </row>
    <row r="267" spans="11:16" hidden="1" x14ac:dyDescent="0.2">
      <c r="K267" s="115"/>
      <c r="L267" s="16">
        <v>1</v>
      </c>
      <c r="M267" s="16" t="s">
        <v>195</v>
      </c>
      <c r="O267" s="16">
        <v>1</v>
      </c>
      <c r="P267" s="16" t="str">
        <f>IF($L$266=3,"Without brake"," ")</f>
        <v xml:space="preserve"> </v>
      </c>
    </row>
    <row r="268" spans="11:16" hidden="1" x14ac:dyDescent="0.2">
      <c r="K268" s="115"/>
      <c r="L268" s="16">
        <v>2</v>
      </c>
      <c r="M268" s="16" t="s">
        <v>196</v>
      </c>
      <c r="O268" s="16">
        <v>2</v>
      </c>
      <c r="P268" s="16" t="str">
        <f>IF($L$266=3,"With brake"," ")</f>
        <v xml:space="preserve"> </v>
      </c>
    </row>
    <row r="269" spans="11:16" hidden="1" x14ac:dyDescent="0.2">
      <c r="K269" s="115"/>
      <c r="L269" s="16">
        <v>3</v>
      </c>
      <c r="M269" s="16" t="s">
        <v>189</v>
      </c>
    </row>
    <row r="270" spans="11:16" hidden="1" x14ac:dyDescent="0.2">
      <c r="K270" s="115"/>
      <c r="L270" s="16">
        <v>4</v>
      </c>
      <c r="M270" s="16" t="s">
        <v>197</v>
      </c>
    </row>
    <row r="271" spans="11:16" hidden="1" x14ac:dyDescent="0.2">
      <c r="K271" s="115"/>
      <c r="L271" s="16">
        <v>5</v>
      </c>
      <c r="M271" s="16" t="s">
        <v>201</v>
      </c>
    </row>
    <row r="272" spans="11:16" hidden="1" x14ac:dyDescent="0.2">
      <c r="K272" s="115"/>
    </row>
    <row r="273" spans="11:13" hidden="1" x14ac:dyDescent="0.2">
      <c r="K273" s="115"/>
    </row>
    <row r="274" spans="11:13" hidden="1" x14ac:dyDescent="0.2">
      <c r="K274" s="115"/>
      <c r="L274" s="111">
        <v>15</v>
      </c>
    </row>
    <row r="275" spans="11:13" hidden="1" x14ac:dyDescent="0.2">
      <c r="K275" s="115"/>
      <c r="L275" s="257">
        <v>1</v>
      </c>
      <c r="M275" s="16" t="str">
        <f t="shared" ref="M275:M298" si="8">IF($L$266=1,"-",IF($L$266=2,M207,IF($L$266=3,M178,IF($L$266=4,M235," - "))))</f>
        <v xml:space="preserve"> - </v>
      </c>
    </row>
    <row r="276" spans="11:13" hidden="1" x14ac:dyDescent="0.2">
      <c r="K276" s="115"/>
      <c r="L276" s="257">
        <v>2</v>
      </c>
      <c r="M276" s="16" t="str">
        <f t="shared" si="8"/>
        <v xml:space="preserve"> - </v>
      </c>
    </row>
    <row r="277" spans="11:13" hidden="1" x14ac:dyDescent="0.2">
      <c r="K277" s="115"/>
      <c r="L277" s="257">
        <v>3</v>
      </c>
      <c r="M277" s="16" t="str">
        <f t="shared" si="8"/>
        <v xml:space="preserve"> - </v>
      </c>
    </row>
    <row r="278" spans="11:13" hidden="1" x14ac:dyDescent="0.2">
      <c r="K278" s="115"/>
      <c r="L278" s="257">
        <v>4</v>
      </c>
      <c r="M278" s="16" t="str">
        <f t="shared" si="8"/>
        <v xml:space="preserve"> - </v>
      </c>
    </row>
    <row r="279" spans="11:13" hidden="1" x14ac:dyDescent="0.2">
      <c r="K279" s="115"/>
      <c r="L279" s="257">
        <v>5</v>
      </c>
      <c r="M279" s="16" t="str">
        <f t="shared" si="8"/>
        <v xml:space="preserve"> - </v>
      </c>
    </row>
    <row r="280" spans="11:13" hidden="1" x14ac:dyDescent="0.2">
      <c r="K280" s="115"/>
      <c r="L280" s="257">
        <v>6</v>
      </c>
      <c r="M280" s="16" t="str">
        <f t="shared" si="8"/>
        <v xml:space="preserve"> - </v>
      </c>
    </row>
    <row r="281" spans="11:13" hidden="1" x14ac:dyDescent="0.2">
      <c r="K281" s="115"/>
      <c r="L281" s="257">
        <v>7</v>
      </c>
      <c r="M281" s="16" t="str">
        <f t="shared" si="8"/>
        <v xml:space="preserve"> - </v>
      </c>
    </row>
    <row r="282" spans="11:13" hidden="1" x14ac:dyDescent="0.2">
      <c r="K282" s="115"/>
      <c r="L282" s="257">
        <v>8</v>
      </c>
      <c r="M282" s="16" t="str">
        <f t="shared" si="8"/>
        <v xml:space="preserve"> - </v>
      </c>
    </row>
    <row r="283" spans="11:13" hidden="1" x14ac:dyDescent="0.2">
      <c r="K283" s="115"/>
      <c r="L283" s="257">
        <v>9</v>
      </c>
      <c r="M283" s="16" t="str">
        <f t="shared" si="8"/>
        <v xml:space="preserve"> - </v>
      </c>
    </row>
    <row r="284" spans="11:13" hidden="1" x14ac:dyDescent="0.2">
      <c r="K284" s="115"/>
      <c r="L284" s="257">
        <v>10</v>
      </c>
      <c r="M284" s="16" t="str">
        <f t="shared" si="8"/>
        <v xml:space="preserve"> - </v>
      </c>
    </row>
    <row r="285" spans="11:13" hidden="1" x14ac:dyDescent="0.2">
      <c r="K285" s="115"/>
      <c r="L285" s="257">
        <v>11</v>
      </c>
      <c r="M285" s="16" t="str">
        <f t="shared" si="8"/>
        <v xml:space="preserve"> - </v>
      </c>
    </row>
    <row r="286" spans="11:13" hidden="1" x14ac:dyDescent="0.2">
      <c r="K286" s="115"/>
      <c r="L286" s="257">
        <v>12</v>
      </c>
      <c r="M286" s="16" t="str">
        <f t="shared" si="8"/>
        <v xml:space="preserve"> - </v>
      </c>
    </row>
    <row r="287" spans="11:13" hidden="1" x14ac:dyDescent="0.2">
      <c r="K287" s="115"/>
      <c r="L287" s="257">
        <v>13</v>
      </c>
      <c r="M287" s="16" t="str">
        <f t="shared" si="8"/>
        <v xml:space="preserve"> - </v>
      </c>
    </row>
    <row r="288" spans="11:13" hidden="1" x14ac:dyDescent="0.2">
      <c r="K288" s="115"/>
      <c r="L288" s="257">
        <v>14</v>
      </c>
      <c r="M288" s="16" t="str">
        <f t="shared" si="8"/>
        <v xml:space="preserve"> - </v>
      </c>
    </row>
    <row r="289" spans="11:13" hidden="1" x14ac:dyDescent="0.2">
      <c r="K289" s="115"/>
      <c r="L289" s="257">
        <v>15</v>
      </c>
      <c r="M289" s="16" t="str">
        <f t="shared" si="8"/>
        <v xml:space="preserve"> - </v>
      </c>
    </row>
    <row r="290" spans="11:13" hidden="1" x14ac:dyDescent="0.2">
      <c r="K290" s="115"/>
      <c r="L290" s="257">
        <v>16</v>
      </c>
      <c r="M290" s="16" t="str">
        <f t="shared" si="8"/>
        <v xml:space="preserve"> - </v>
      </c>
    </row>
    <row r="291" spans="11:13" hidden="1" x14ac:dyDescent="0.2">
      <c r="K291" s="115"/>
      <c r="L291" s="257">
        <v>17</v>
      </c>
      <c r="M291" s="16" t="str">
        <f t="shared" si="8"/>
        <v xml:space="preserve"> - </v>
      </c>
    </row>
    <row r="292" spans="11:13" hidden="1" x14ac:dyDescent="0.2">
      <c r="K292" s="115"/>
      <c r="L292" s="257">
        <v>18</v>
      </c>
      <c r="M292" s="16" t="str">
        <f t="shared" si="8"/>
        <v xml:space="preserve"> - </v>
      </c>
    </row>
    <row r="293" spans="11:13" hidden="1" x14ac:dyDescent="0.2">
      <c r="K293" s="115"/>
      <c r="L293" s="257">
        <v>19</v>
      </c>
      <c r="M293" s="16" t="str">
        <f t="shared" si="8"/>
        <v xml:space="preserve"> - </v>
      </c>
    </row>
    <row r="294" spans="11:13" hidden="1" x14ac:dyDescent="0.2">
      <c r="K294" s="115"/>
      <c r="L294" s="257">
        <v>20</v>
      </c>
      <c r="M294" s="16" t="str">
        <f t="shared" si="8"/>
        <v xml:space="preserve"> - </v>
      </c>
    </row>
    <row r="295" spans="11:13" hidden="1" x14ac:dyDescent="0.2">
      <c r="K295" s="115"/>
      <c r="L295" s="257">
        <v>21</v>
      </c>
      <c r="M295" s="16" t="str">
        <f t="shared" si="8"/>
        <v xml:space="preserve"> - </v>
      </c>
    </row>
    <row r="296" spans="11:13" hidden="1" x14ac:dyDescent="0.2">
      <c r="K296" s="115"/>
      <c r="L296" s="257">
        <v>22</v>
      </c>
      <c r="M296" s="16" t="str">
        <f t="shared" si="8"/>
        <v xml:space="preserve"> - </v>
      </c>
    </row>
    <row r="297" spans="11:13" hidden="1" x14ac:dyDescent="0.2">
      <c r="K297" s="115"/>
      <c r="L297" s="257">
        <v>23</v>
      </c>
      <c r="M297" s="16" t="str">
        <f t="shared" si="8"/>
        <v xml:space="preserve"> - </v>
      </c>
    </row>
    <row r="298" spans="11:13" hidden="1" x14ac:dyDescent="0.2">
      <c r="K298" s="115"/>
      <c r="L298" s="257">
        <v>24</v>
      </c>
      <c r="M298" s="16" t="str">
        <f t="shared" si="8"/>
        <v xml:space="preserve"> - </v>
      </c>
    </row>
    <row r="299" spans="11:13" hidden="1" x14ac:dyDescent="0.2">
      <c r="K299" s="115"/>
    </row>
    <row r="300" spans="11:13" hidden="1" x14ac:dyDescent="0.2">
      <c r="K300" s="115"/>
    </row>
    <row r="301" spans="11:13" hidden="1" x14ac:dyDescent="0.2">
      <c r="K301" s="115"/>
    </row>
    <row r="302" spans="11:13" hidden="1" x14ac:dyDescent="0.2">
      <c r="K302" s="115"/>
    </row>
    <row r="303" spans="11:13" hidden="1" x14ac:dyDescent="0.2">
      <c r="K303" s="115"/>
    </row>
    <row r="304" spans="11:13" hidden="1" x14ac:dyDescent="0.2">
      <c r="K304" s="115"/>
    </row>
    <row r="305" spans="11:11" hidden="1" x14ac:dyDescent="0.2">
      <c r="K305" s="115"/>
    </row>
    <row r="306" spans="11:11" hidden="1" x14ac:dyDescent="0.2">
      <c r="K306" s="115"/>
    </row>
    <row r="307" spans="11:11" hidden="1" x14ac:dyDescent="0.2">
      <c r="K307" s="115"/>
    </row>
    <row r="308" spans="11:11" hidden="1" x14ac:dyDescent="0.2">
      <c r="K308" s="115"/>
    </row>
    <row r="309" spans="11:11" hidden="1" x14ac:dyDescent="0.2">
      <c r="K309" s="115"/>
    </row>
    <row r="310" spans="11:11" hidden="1" x14ac:dyDescent="0.2">
      <c r="K310" s="115"/>
    </row>
    <row r="311" spans="11:11" hidden="1" x14ac:dyDescent="0.2">
      <c r="K311" s="115"/>
    </row>
    <row r="312" spans="11:11" hidden="1" x14ac:dyDescent="0.2">
      <c r="K312" s="115"/>
    </row>
    <row r="313" spans="11:11" hidden="1" x14ac:dyDescent="0.2">
      <c r="K313" s="115"/>
    </row>
    <row r="314" spans="11:11" hidden="1" x14ac:dyDescent="0.2">
      <c r="K314" s="115"/>
    </row>
    <row r="315" spans="11:11" hidden="1" x14ac:dyDescent="0.2">
      <c r="K315" s="115"/>
    </row>
    <row r="316" spans="11:11" hidden="1" x14ac:dyDescent="0.2">
      <c r="K316" s="115"/>
    </row>
  </sheetData>
  <sheetProtection password="CC6C" sheet="1" objects="1" scenarios="1"/>
  <mergeCells count="20">
    <mergeCell ref="AM105:AM107"/>
    <mergeCell ref="AN105:AN107"/>
    <mergeCell ref="B3:D3"/>
    <mergeCell ref="B4:D4"/>
    <mergeCell ref="B5:D5"/>
    <mergeCell ref="F5:G5"/>
    <mergeCell ref="AE29:AF29"/>
    <mergeCell ref="AE43:AF43"/>
    <mergeCell ref="AD107:AE107"/>
    <mergeCell ref="AF107:AG107"/>
    <mergeCell ref="AH107:AI107"/>
    <mergeCell ref="AE56:AF56"/>
    <mergeCell ref="AE69:AF69"/>
    <mergeCell ref="AE82:AF82"/>
    <mergeCell ref="AE95:AF95"/>
    <mergeCell ref="U136:V136"/>
    <mergeCell ref="W136:X136"/>
    <mergeCell ref="X107:Y107"/>
    <mergeCell ref="Z107:AA107"/>
    <mergeCell ref="AB107:AC107"/>
  </mergeCells>
  <conditionalFormatting sqref="G24">
    <cfRule type="expression" dxfId="30" priority="4" stopIfTrue="1">
      <formula>$M$35=0</formula>
    </cfRule>
  </conditionalFormatting>
  <conditionalFormatting sqref="D22">
    <cfRule type="expression" dxfId="29" priority="1">
      <formula>$Q$23=1</formula>
    </cfRule>
  </conditionalFormatting>
  <conditionalFormatting sqref="D111:D114">
    <cfRule type="expression" dxfId="28" priority="5">
      <formula>$L$262=2</formula>
    </cfRule>
    <cfRule type="expression" dxfId="27" priority="6">
      <formula>$L$262=1</formula>
    </cfRule>
  </conditionalFormatting>
  <conditionalFormatting sqref="D123:I126 D127">
    <cfRule type="expression" dxfId="26" priority="7">
      <formula>$L$266=5</formula>
    </cfRule>
  </conditionalFormatting>
  <conditionalFormatting sqref="A128:G135">
    <cfRule type="expression" dxfId="25" priority="8">
      <formula>$L$266=1</formula>
    </cfRule>
  </conditionalFormatting>
  <conditionalFormatting sqref="F133">
    <cfRule type="expression" dxfId="24" priority="9">
      <formula>$L$266=2</formula>
    </cfRule>
  </conditionalFormatting>
  <conditionalFormatting sqref="H18">
    <cfRule type="expression" dxfId="23" priority="24" stopIfTrue="1">
      <formula>$Q$16&lt;3</formula>
    </cfRule>
  </conditionalFormatting>
  <conditionalFormatting sqref="G18">
    <cfRule type="expression" dxfId="22" priority="28" stopIfTrue="1">
      <formula>$S$16=1</formula>
    </cfRule>
  </conditionalFormatting>
  <pageMargins left="0.25" right="0.25" top="0.75" bottom="0.75" header="0.3" footer="0.3"/>
  <pageSetup paperSize="9" orientation="portrait" verticalDpi="0" r:id="rId1"/>
  <headerFooter>
    <oddHeader>&amp;C&amp;F</oddHeader>
    <oddFooter>&amp;Cpage &amp;P / &amp;N  printed &amp;D &amp;T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2</xdr:col>
                    <xdr:colOff>9525</xdr:colOff>
                    <xdr:row>7</xdr:row>
                    <xdr:rowOff>0</xdr:rowOff>
                  </from>
                  <to>
                    <xdr:col>3</xdr:col>
                    <xdr:colOff>161925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</xdr:col>
                    <xdr:colOff>600075</xdr:colOff>
                    <xdr:row>16</xdr:row>
                    <xdr:rowOff>171450</xdr:rowOff>
                  </from>
                  <to>
                    <xdr:col>4</xdr:col>
                    <xdr:colOff>304800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Drop Down 3">
              <controlPr defaultSize="0" autoLine="0" autoPict="0">
                <anchor moveWithCells="1">
                  <from>
                    <xdr:col>3</xdr:col>
                    <xdr:colOff>9525</xdr:colOff>
                    <xdr:row>20</xdr:row>
                    <xdr:rowOff>0</xdr:rowOff>
                  </from>
                  <to>
                    <xdr:col>4</xdr:col>
                    <xdr:colOff>542925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Drop Down 4">
              <controlPr defaultSize="0" autoLine="0" autoPict="0">
                <anchor mov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3</xdr:col>
                    <xdr:colOff>66675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Drop Down 5">
              <controlPr defaultSize="0" autoLine="0" autoPict="0">
                <anchor moveWithCells="1">
                  <from>
                    <xdr:col>5</xdr:col>
                    <xdr:colOff>171450</xdr:colOff>
                    <xdr:row>49</xdr:row>
                    <xdr:rowOff>19050</xdr:rowOff>
                  </from>
                  <to>
                    <xdr:col>6</xdr:col>
                    <xdr:colOff>38100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Drop Down 6">
              <controlPr defaultSize="0" autoLine="0" autoPict="0">
                <anchor moveWithCells="1">
                  <from>
                    <xdr:col>7</xdr:col>
                    <xdr:colOff>47625</xdr:colOff>
                    <xdr:row>43</xdr:row>
                    <xdr:rowOff>19050</xdr:rowOff>
                  </from>
                  <to>
                    <xdr:col>9</xdr:col>
                    <xdr:colOff>104775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Drop Down 7">
              <controlPr defaultSize="0" autoLine="0" autoPict="0">
                <anchor moveWithCells="1">
                  <from>
                    <xdr:col>0</xdr:col>
                    <xdr:colOff>619125</xdr:colOff>
                    <xdr:row>109</xdr:row>
                    <xdr:rowOff>9525</xdr:rowOff>
                  </from>
                  <to>
                    <xdr:col>2</xdr:col>
                    <xdr:colOff>581025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Drop Down 8">
              <controlPr defaultSize="0" autoLine="0" autoPict="0">
                <anchor moveWithCells="1">
                  <from>
                    <xdr:col>1</xdr:col>
                    <xdr:colOff>0</xdr:colOff>
                    <xdr:row>116</xdr:row>
                    <xdr:rowOff>19050</xdr:rowOff>
                  </from>
                  <to>
                    <xdr:col>2</xdr:col>
                    <xdr:colOff>571500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Drop Down 9">
              <controlPr defaultSize="0" autoLine="0" autoPict="0">
                <anchor moveWithCells="1">
                  <from>
                    <xdr:col>6</xdr:col>
                    <xdr:colOff>457200</xdr:colOff>
                    <xdr:row>116</xdr:row>
                    <xdr:rowOff>9525</xdr:rowOff>
                  </from>
                  <to>
                    <xdr:col>8</xdr:col>
                    <xdr:colOff>285750</xdr:colOff>
                    <xdr:row>117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Drop Down 10">
              <controlPr defaultSize="0" autoLine="0" autoPict="0">
                <anchor moveWithCells="1">
                  <from>
                    <xdr:col>3</xdr:col>
                    <xdr:colOff>0</xdr:colOff>
                    <xdr:row>116</xdr:row>
                    <xdr:rowOff>28575</xdr:rowOff>
                  </from>
                  <to>
                    <xdr:col>6</xdr:col>
                    <xdr:colOff>419100</xdr:colOff>
                    <xdr:row>117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Drop Down 11">
              <controlPr defaultSize="0" autoLine="0" autoPict="0">
                <anchor moveWithCells="1">
                  <from>
                    <xdr:col>3</xdr:col>
                    <xdr:colOff>495300</xdr:colOff>
                    <xdr:row>84</xdr:row>
                    <xdr:rowOff>0</xdr:rowOff>
                  </from>
                  <to>
                    <xdr:col>9</xdr:col>
                    <xdr:colOff>485775</xdr:colOff>
                    <xdr:row>85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H289"/>
  <sheetViews>
    <sheetView topLeftCell="A2" zoomScale="110" zoomScaleNormal="110" workbookViewId="0">
      <selection activeCell="B3" sqref="B3:D3"/>
    </sheetView>
  </sheetViews>
  <sheetFormatPr defaultColWidth="9.140625" defaultRowHeight="14.25" zeroHeight="1" x14ac:dyDescent="0.2"/>
  <cols>
    <col min="1" max="1" width="9.42578125" style="16" customWidth="1"/>
    <col min="2" max="2" width="9.140625" style="16" customWidth="1"/>
    <col min="3" max="3" width="10.5703125" style="16" bestFit="1" customWidth="1"/>
    <col min="4" max="4" width="10" style="16" customWidth="1"/>
    <col min="5" max="9" width="9.140625" style="16" customWidth="1"/>
    <col min="10" max="10" width="9" style="16" customWidth="1"/>
    <col min="11" max="19" width="9.140625" style="16" hidden="1" customWidth="1"/>
    <col min="20" max="20" width="11.28515625" style="16" hidden="1" customWidth="1"/>
    <col min="21" max="21" width="9.140625" style="16" hidden="1" customWidth="1"/>
    <col min="22" max="22" width="10.5703125" style="16" hidden="1" customWidth="1"/>
    <col min="23" max="23" width="11.5703125" style="16" hidden="1" customWidth="1"/>
    <col min="24" max="27" width="9.140625" style="16" hidden="1" customWidth="1"/>
    <col min="28" max="28" width="11.7109375" style="16" hidden="1" customWidth="1"/>
    <col min="29" max="41" width="9.140625" style="16" hidden="1" customWidth="1"/>
    <col min="42" max="42" width="11.5703125" style="16" hidden="1" customWidth="1"/>
    <col min="43" max="48" width="9.140625" style="16" hidden="1" customWidth="1"/>
    <col min="49" max="49" width="10.85546875" style="16" hidden="1" customWidth="1"/>
    <col min="50" max="50" width="9.140625" style="16" hidden="1" customWidth="1"/>
    <col min="51" max="51" width="10.5703125" style="16" hidden="1" customWidth="1"/>
    <col min="52" max="52" width="9.140625" style="16" hidden="1" customWidth="1"/>
    <col min="53" max="53" width="15.85546875" style="16" hidden="1" customWidth="1"/>
    <col min="54" max="78" width="9.140625" style="16" hidden="1" customWidth="1"/>
    <col min="79" max="96" width="9.140625" style="16" customWidth="1"/>
    <col min="97" max="16384" width="9.140625" style="16"/>
  </cols>
  <sheetData>
    <row r="1" spans="1:67" ht="39.75" customHeight="1" x14ac:dyDescent="0.3">
      <c r="A1" s="1" t="s">
        <v>256</v>
      </c>
      <c r="B1" s="2"/>
      <c r="C1" s="2"/>
      <c r="D1" s="3" t="s">
        <v>0</v>
      </c>
      <c r="E1" s="2"/>
      <c r="F1" s="2"/>
      <c r="G1" s="2"/>
      <c r="H1" s="2"/>
      <c r="I1" s="4" t="s">
        <v>457</v>
      </c>
      <c r="J1" s="5"/>
      <c r="AY1" s="221"/>
      <c r="BI1" s="176"/>
    </row>
    <row r="2" spans="1:67" ht="40.5" customHeight="1" x14ac:dyDescent="0.25">
      <c r="A2" s="195" t="s">
        <v>257</v>
      </c>
      <c r="B2" s="2"/>
      <c r="C2" s="2"/>
      <c r="D2" s="17"/>
      <c r="E2" s="6"/>
      <c r="F2" s="7"/>
      <c r="G2" s="7"/>
      <c r="H2" s="7"/>
      <c r="I2" s="2"/>
      <c r="J2" s="5"/>
      <c r="X2" s="196" t="s">
        <v>53</v>
      </c>
      <c r="Y2" s="196" t="s">
        <v>298</v>
      </c>
      <c r="Z2" s="196" t="s">
        <v>282</v>
      </c>
      <c r="AA2" s="196" t="s">
        <v>274</v>
      </c>
      <c r="AB2" s="194" t="s">
        <v>62</v>
      </c>
      <c r="AC2" s="194" t="s">
        <v>54</v>
      </c>
      <c r="AD2" s="194" t="s">
        <v>55</v>
      </c>
      <c r="AE2" s="194" t="s">
        <v>56</v>
      </c>
      <c r="AF2" s="194" t="s">
        <v>57</v>
      </c>
      <c r="AG2" s="194" t="s">
        <v>58</v>
      </c>
      <c r="AH2" s="194" t="s">
        <v>59</v>
      </c>
      <c r="AI2" s="194" t="s">
        <v>60</v>
      </c>
      <c r="AJ2" s="194" t="s">
        <v>32</v>
      </c>
      <c r="AK2" s="196" t="s">
        <v>61</v>
      </c>
      <c r="AL2" s="196" t="s">
        <v>271</v>
      </c>
      <c r="AM2" s="202" t="s">
        <v>270</v>
      </c>
      <c r="AN2" s="196" t="s">
        <v>80</v>
      </c>
      <c r="AO2" s="196"/>
      <c r="AP2" s="196" t="s">
        <v>272</v>
      </c>
      <c r="AQ2" s="220" t="s">
        <v>284</v>
      </c>
      <c r="AR2" s="219" t="s">
        <v>283</v>
      </c>
      <c r="AS2" s="176"/>
      <c r="AT2" s="176" t="s">
        <v>63</v>
      </c>
      <c r="AU2" s="196" t="s">
        <v>291</v>
      </c>
      <c r="AV2" s="196" t="s">
        <v>292</v>
      </c>
      <c r="AW2" s="196" t="s">
        <v>294</v>
      </c>
      <c r="AX2" s="196" t="s">
        <v>308</v>
      </c>
      <c r="AY2" s="196" t="s">
        <v>309</v>
      </c>
      <c r="AZ2" s="196"/>
      <c r="BA2" s="196" t="s">
        <v>324</v>
      </c>
      <c r="BB2" s="196" t="s">
        <v>325</v>
      </c>
      <c r="BC2" s="196" t="s">
        <v>358</v>
      </c>
      <c r="BD2" s="176"/>
      <c r="BE2" s="196"/>
      <c r="BF2" s="196"/>
      <c r="BG2" s="196"/>
      <c r="BH2" s="196"/>
      <c r="BL2" s="16" t="s">
        <v>221</v>
      </c>
    </row>
    <row r="3" spans="1:67" ht="15" x14ac:dyDescent="0.25">
      <c r="A3" s="174" t="s">
        <v>1</v>
      </c>
      <c r="B3" s="470"/>
      <c r="C3" s="470"/>
      <c r="D3" s="470"/>
      <c r="E3" s="47"/>
      <c r="F3" s="47"/>
      <c r="G3" s="47"/>
      <c r="H3" s="8"/>
      <c r="I3" s="18"/>
      <c r="J3" s="9"/>
      <c r="Y3" s="68"/>
      <c r="Z3" s="68"/>
      <c r="AA3" s="68"/>
      <c r="AL3" s="194"/>
      <c r="AM3" s="194"/>
      <c r="AN3" s="194" t="s">
        <v>81</v>
      </c>
      <c r="AO3" s="194" t="s">
        <v>82</v>
      </c>
      <c r="AP3" s="194" t="s">
        <v>273</v>
      </c>
      <c r="AQ3" s="194" t="s">
        <v>64</v>
      </c>
      <c r="AR3" s="194" t="s">
        <v>65</v>
      </c>
      <c r="AT3" s="51" t="s">
        <v>285</v>
      </c>
      <c r="AW3" s="194"/>
      <c r="AX3" s="194"/>
      <c r="AY3" s="194"/>
      <c r="AZ3" s="194"/>
      <c r="BA3" s="194"/>
      <c r="BB3" s="194"/>
      <c r="BC3" s="194"/>
      <c r="BE3" s="194"/>
      <c r="BF3" s="194"/>
      <c r="BG3" s="194"/>
      <c r="BH3" s="194"/>
      <c r="BL3" s="50"/>
    </row>
    <row r="4" spans="1:67" ht="15" x14ac:dyDescent="0.25">
      <c r="A4" s="174" t="s">
        <v>2</v>
      </c>
      <c r="B4" s="471"/>
      <c r="C4" s="471"/>
      <c r="D4" s="471"/>
      <c r="E4" s="47"/>
      <c r="F4" s="47"/>
      <c r="G4" s="47"/>
      <c r="H4" s="8"/>
      <c r="I4" s="10"/>
      <c r="J4" s="9"/>
      <c r="Q4" s="111">
        <v>2</v>
      </c>
      <c r="R4" s="16" t="str">
        <f>VLOOKUP($Q$4,$Q$5:R9,R10)</f>
        <v>WM60S</v>
      </c>
      <c r="S4" s="16" t="str">
        <f>VLOOKUP($Q$4,$Q$5:S9,S10)</f>
        <v>Ball screw Ø20 with single ball nut</v>
      </c>
      <c r="T4" s="16">
        <f>VLOOKUP($Q$4,$Q$5:T9,T10)</f>
        <v>0</v>
      </c>
      <c r="U4" s="16">
        <f>VLOOKUP($Q$4,$Q$5:U9,U10)</f>
        <v>0</v>
      </c>
      <c r="V4" s="16">
        <f>VLOOKUP($Q$4,$Q$5:V9,V10)</f>
        <v>0</v>
      </c>
      <c r="W4" s="16">
        <f>VLOOKUP($Q$4,$Q$5:W9,W10)</f>
        <v>0.02</v>
      </c>
      <c r="X4" s="16">
        <f>VLOOKUP($Q$4,$Q$5:X9,X10)</f>
        <v>5000</v>
      </c>
      <c r="Y4" s="68">
        <f>VLOOKUP($Q$4,$Q$5:Y9,Y10)</f>
        <v>0</v>
      </c>
      <c r="Z4" s="68">
        <f>VLOOKUP($Q$4,$Q$5:Z9,Z10)</f>
        <v>480</v>
      </c>
      <c r="AA4" s="68">
        <f>VLOOKUP($Q$4,$Q$5:AA9,AA10)</f>
        <v>255</v>
      </c>
      <c r="AB4" s="16">
        <f>VLOOKUP($Q$4,$Q$5:AB9,AB10)</f>
        <v>2800</v>
      </c>
      <c r="AC4" s="16">
        <f>VLOOKUP($Q$4,$Q$5:AC9,AC10)*S13</f>
        <v>1400</v>
      </c>
      <c r="AD4" s="16">
        <f>VLOOKUP($Q$4,$Q$5:AD9,AD10)*S13</f>
        <v>1400</v>
      </c>
      <c r="AE4" s="16">
        <f>VLOOKUP($Q$4,$Q$5:AE9,AE10)</f>
        <v>50</v>
      </c>
      <c r="AF4" s="16">
        <f>VLOOKUP($Q$4,$Q$5:AF9,AF10)</f>
        <v>100</v>
      </c>
      <c r="AG4" s="16">
        <f>VLOOKUP($Q$4,$Q$5:AG9,AG10)</f>
        <v>100</v>
      </c>
      <c r="AH4" s="16">
        <f>VLOOKUP($Q$4,$Q$5:AH9,AH10)</f>
        <v>500</v>
      </c>
      <c r="AI4" s="16">
        <f>VLOOKUP($Q$4,$Q$5:AI9,AI10)</f>
        <v>35</v>
      </c>
      <c r="AJ4" s="16">
        <f>VLOOKUP($Q$4,$Q$5:AJ9,AJ10)</f>
        <v>2.5</v>
      </c>
      <c r="AK4" s="16">
        <f>VLOOKUP($Q$4,$Q$5:AK9,AK10)</f>
        <v>20</v>
      </c>
      <c r="AL4" s="16">
        <f>VLOOKUP($Q$4,$Q$5:AL9,AL10)</f>
        <v>0</v>
      </c>
      <c r="AM4" s="16">
        <f>VLOOKUP($Q$4,$Q$5:AM9,AM10)</f>
        <v>1</v>
      </c>
      <c r="AN4" s="16">
        <f>VLOOKUP($Q$4,$Q$5:AN9,AN10)</f>
        <v>3.8</v>
      </c>
      <c r="AO4" s="16">
        <f>VLOOKUP($Q$4,$Q$5:AO9,AO10)</f>
        <v>0.65</v>
      </c>
      <c r="AP4" s="16">
        <f>VLOOKUP($Q$4,$Q$5:AP9,AP10)</f>
        <v>18</v>
      </c>
      <c r="AQ4" s="16">
        <f>VLOOKUP($Q$4,$Q$5:AQ9,AQ10)</f>
        <v>0</v>
      </c>
      <c r="AR4" s="16">
        <f>VLOOKUP($Q$4,$Q$5:AR9,AR10)</f>
        <v>35</v>
      </c>
      <c r="AS4" s="16" t="str">
        <f>VLOOKUP($Q$4,$Q$5:AS9,AS10)</f>
        <v>WM06S</v>
      </c>
      <c r="AT4" s="16">
        <f>VLOOKUP($Q$4,$Q$5:AT9,AT10)</f>
        <v>300</v>
      </c>
      <c r="AU4" s="16">
        <f>VLOOKUP($Q$4,$Q$5:AU9,AU10)</f>
        <v>23868</v>
      </c>
      <c r="AV4" s="16">
        <f>VLOOKUP($Q$4,$Q$5:AV9,AV10)</f>
        <v>25928</v>
      </c>
      <c r="AW4" s="238">
        <f>BO21</f>
        <v>10500</v>
      </c>
      <c r="AX4" s="238">
        <f>VLOOKUP($Q$4,$Q$5:AX9,AX10)</f>
        <v>0</v>
      </c>
      <c r="AY4" s="238">
        <f>VLOOKUP($Q$4,$Q$5:AY9,AY10)</f>
        <v>500</v>
      </c>
      <c r="AZ4" s="16" t="str">
        <f>VLOOKUP($Q$4,$Q$5:AZ9,AZ10)</f>
        <v>7205 BEP</v>
      </c>
      <c r="BA4" s="243">
        <f>VLOOKUP($Q$4,$Q$5:BA9,BA10)</f>
        <v>20200</v>
      </c>
      <c r="BB4" s="243">
        <f>VLOOKUP($Q$4,$Q$5:BB9,BB10)</f>
        <v>20</v>
      </c>
      <c r="BC4" s="16">
        <f>VLOOKUP($Q$4,$Q$5:BC9,BC10)</f>
        <v>8.460000000000001E-5</v>
      </c>
      <c r="BD4" s="16">
        <f>VLOOKUP($Q$4,$Q$5:BD9,BD10)</f>
        <v>0</v>
      </c>
      <c r="BE4" s="16">
        <f>VLOOKUP($Q$4,$Q$5:BE9,BE10)</f>
        <v>0</v>
      </c>
      <c r="BF4" s="16">
        <f>VLOOKUP($Q$4,$Q$5:BF9,BF10)</f>
        <v>0</v>
      </c>
      <c r="BG4" s="16">
        <f>VLOOKUP($Q$4,$Q$5:BG9,BG10)</f>
        <v>0</v>
      </c>
      <c r="BH4" s="16">
        <f>VLOOKUP($Q$4,$Q$5:BH9,BH10)</f>
        <v>0</v>
      </c>
      <c r="BI4" s="16">
        <f>VLOOKUP($Q$4,$Q$5:BI9,BI10)</f>
        <v>0</v>
      </c>
    </row>
    <row r="5" spans="1:67" ht="15" x14ac:dyDescent="0.25">
      <c r="A5" s="174" t="s">
        <v>3</v>
      </c>
      <c r="B5" s="472"/>
      <c r="C5" s="472"/>
      <c r="D5" s="472"/>
      <c r="E5" s="48" t="s">
        <v>4</v>
      </c>
      <c r="F5" s="470" t="s">
        <v>5</v>
      </c>
      <c r="G5" s="470"/>
      <c r="H5" s="8"/>
      <c r="I5" s="21"/>
      <c r="J5" s="11"/>
      <c r="Q5" s="19">
        <v>1</v>
      </c>
      <c r="R5" s="16" t="s">
        <v>258</v>
      </c>
      <c r="S5" s="16" t="s">
        <v>263</v>
      </c>
      <c r="W5" s="16">
        <v>0.01</v>
      </c>
      <c r="X5" s="20">
        <f>IF($BO$16=50,5000,11000)</f>
        <v>11000</v>
      </c>
      <c r="Y5" s="68">
        <f>190+141.7</f>
        <v>331.7</v>
      </c>
      <c r="Z5" s="68">
        <f>IF(Q13=2,AV17,AR17)</f>
        <v>650</v>
      </c>
      <c r="AA5" s="68">
        <v>335</v>
      </c>
      <c r="AB5" s="16">
        <v>4000</v>
      </c>
      <c r="AC5" s="16">
        <v>2000</v>
      </c>
      <c r="AD5" s="16">
        <v>2000</v>
      </c>
      <c r="AE5" s="16">
        <v>100</v>
      </c>
      <c r="AF5" s="16">
        <f>IF($Q$13=1,200,IF($Q$13=2,500,2*$G$18))</f>
        <v>200</v>
      </c>
      <c r="AG5" s="16">
        <f>AF5</f>
        <v>200</v>
      </c>
      <c r="AH5" s="16">
        <v>500</v>
      </c>
      <c r="AI5" s="16">
        <v>35</v>
      </c>
      <c r="AJ5" s="16">
        <v>2.5</v>
      </c>
      <c r="AK5" s="16">
        <v>10</v>
      </c>
      <c r="AL5" s="16">
        <v>3.1</v>
      </c>
      <c r="AM5" s="16">
        <v>1.99</v>
      </c>
      <c r="AN5" s="16">
        <v>6.16</v>
      </c>
      <c r="AO5" s="16">
        <v>0.65</v>
      </c>
      <c r="AP5" s="16">
        <v>20</v>
      </c>
      <c r="AQ5" s="16">
        <v>141.69999999999999</v>
      </c>
      <c r="AR5" s="16">
        <v>35</v>
      </c>
      <c r="AS5" s="16" t="s">
        <v>286</v>
      </c>
      <c r="AT5" s="68">
        <v>500</v>
      </c>
      <c r="AU5" s="16">
        <f>4*10581</f>
        <v>42324</v>
      </c>
      <c r="AV5" s="16">
        <f>4*11495</f>
        <v>45980</v>
      </c>
      <c r="AX5" s="68">
        <v>400</v>
      </c>
      <c r="AY5" s="241">
        <v>500</v>
      </c>
      <c r="AZ5" s="16" t="s">
        <v>314</v>
      </c>
      <c r="BA5" s="16">
        <v>20200</v>
      </c>
      <c r="BB5" s="16">
        <v>20</v>
      </c>
      <c r="BC5" s="16">
        <f>8.46*10^-5</f>
        <v>8.460000000000001E-5</v>
      </c>
      <c r="BE5" s="194"/>
      <c r="BF5" s="194"/>
      <c r="BG5" s="194"/>
      <c r="BH5" s="194"/>
      <c r="BI5" s="194"/>
    </row>
    <row r="6" spans="1:67" x14ac:dyDescent="0.2">
      <c r="A6" s="12"/>
      <c r="B6" s="5"/>
      <c r="C6" s="5"/>
      <c r="D6" s="5"/>
      <c r="E6" s="5"/>
      <c r="F6" s="9"/>
      <c r="G6" s="9"/>
      <c r="H6" s="9"/>
      <c r="I6" s="18"/>
      <c r="J6" s="9"/>
      <c r="Q6" s="19">
        <v>2</v>
      </c>
      <c r="R6" s="16" t="s">
        <v>259</v>
      </c>
      <c r="S6" s="16" t="s">
        <v>264</v>
      </c>
      <c r="W6" s="16">
        <v>0.02</v>
      </c>
      <c r="X6" s="20">
        <v>5000</v>
      </c>
      <c r="Y6" s="68">
        <v>0</v>
      </c>
      <c r="Z6" s="68">
        <f>AT17</f>
        <v>480</v>
      </c>
      <c r="AA6" s="68">
        <v>255</v>
      </c>
      <c r="AB6" s="16">
        <v>2800</v>
      </c>
      <c r="AC6" s="16">
        <v>1400</v>
      </c>
      <c r="AD6" s="16">
        <v>1400</v>
      </c>
      <c r="AE6" s="16">
        <v>50</v>
      </c>
      <c r="AF6" s="16">
        <f>IF($Q$13=1,100,IF($Q$13=2,0,1.4*$G$18))</f>
        <v>100</v>
      </c>
      <c r="AG6" s="16">
        <f t="shared" ref="AG6:AG9" si="0">AF6</f>
        <v>100</v>
      </c>
      <c r="AH6" s="16">
        <v>500</v>
      </c>
      <c r="AI6" s="16">
        <v>35</v>
      </c>
      <c r="AJ6" s="16">
        <v>2.5</v>
      </c>
      <c r="AK6" s="16">
        <v>20</v>
      </c>
      <c r="AL6" s="16">
        <v>0</v>
      </c>
      <c r="AM6" s="16">
        <v>1</v>
      </c>
      <c r="AN6" s="16">
        <v>3.8</v>
      </c>
      <c r="AO6" s="16">
        <v>0.65</v>
      </c>
      <c r="AP6" s="16">
        <v>18</v>
      </c>
      <c r="AQ6" s="16">
        <v>0</v>
      </c>
      <c r="AR6" s="16">
        <v>35</v>
      </c>
      <c r="AS6" s="16" t="s">
        <v>287</v>
      </c>
      <c r="AT6" s="68">
        <v>300</v>
      </c>
      <c r="AU6" s="16">
        <f>2*11934</f>
        <v>23868</v>
      </c>
      <c r="AV6" s="16">
        <f>2*12964</f>
        <v>25928</v>
      </c>
      <c r="AX6" s="68">
        <v>0</v>
      </c>
      <c r="AY6" s="241">
        <v>500</v>
      </c>
      <c r="AZ6" s="16" t="s">
        <v>314</v>
      </c>
      <c r="BA6" s="16">
        <v>20200</v>
      </c>
      <c r="BB6" s="16">
        <v>20</v>
      </c>
      <c r="BC6" s="16">
        <f>BC5</f>
        <v>8.460000000000001E-5</v>
      </c>
      <c r="BE6" s="194"/>
      <c r="BF6" s="194"/>
      <c r="BG6" s="194"/>
      <c r="BH6" s="194"/>
      <c r="BI6" s="194"/>
    </row>
    <row r="7" spans="1:67" ht="15.75" x14ac:dyDescent="0.25">
      <c r="A7" s="13" t="s">
        <v>6</v>
      </c>
      <c r="B7" s="5"/>
      <c r="C7" s="14"/>
      <c r="D7" s="5"/>
      <c r="E7" s="5"/>
      <c r="F7" s="9"/>
      <c r="G7" s="9"/>
      <c r="H7" s="9"/>
      <c r="I7" s="18"/>
      <c r="J7" s="9"/>
      <c r="Q7" s="19">
        <v>3</v>
      </c>
      <c r="R7" s="16" t="s">
        <v>260</v>
      </c>
      <c r="S7" s="16" t="s">
        <v>265</v>
      </c>
      <c r="W7" s="16">
        <v>0.01</v>
      </c>
      <c r="X7" s="20">
        <f>IF($BO$16=50,5000,11000)</f>
        <v>11000</v>
      </c>
      <c r="Y7" s="68">
        <f>170+154</f>
        <v>324</v>
      </c>
      <c r="Z7" s="68">
        <f>IF(Q13=2,BB17,AX17)</f>
        <v>635</v>
      </c>
      <c r="AA7" s="68">
        <v>360</v>
      </c>
      <c r="AB7" s="16">
        <v>5000</v>
      </c>
      <c r="AC7" s="16">
        <v>3000</v>
      </c>
      <c r="AD7" s="16">
        <v>3000</v>
      </c>
      <c r="AE7" s="16">
        <v>350</v>
      </c>
      <c r="AF7" s="16">
        <f>IF($Q$13=1,300,IF($Q$13=2,750,3*$G$18))</f>
        <v>300</v>
      </c>
      <c r="AG7" s="16">
        <f t="shared" si="0"/>
        <v>300</v>
      </c>
      <c r="AH7" s="16">
        <v>700</v>
      </c>
      <c r="AI7" s="16">
        <v>55</v>
      </c>
      <c r="AJ7" s="16">
        <v>2.5</v>
      </c>
      <c r="AK7" s="16">
        <v>20</v>
      </c>
      <c r="AL7" s="16">
        <v>6.4</v>
      </c>
      <c r="AM7" s="16">
        <v>4.26</v>
      </c>
      <c r="AN7" s="16">
        <v>11.57</v>
      </c>
      <c r="AO7" s="16">
        <v>1.08</v>
      </c>
      <c r="AP7" s="16">
        <v>25</v>
      </c>
      <c r="AQ7" s="16">
        <v>154</v>
      </c>
      <c r="AR7" s="16">
        <v>48.75</v>
      </c>
      <c r="AS7" s="16" t="s">
        <v>288</v>
      </c>
      <c r="AT7" s="68">
        <v>600</v>
      </c>
      <c r="AU7" s="16">
        <f>4*13739</f>
        <v>54956</v>
      </c>
      <c r="AV7" s="16">
        <f>4*14356</f>
        <v>57424</v>
      </c>
      <c r="AX7" s="68">
        <v>500</v>
      </c>
      <c r="AY7" s="241">
        <v>700</v>
      </c>
      <c r="AZ7" s="16" t="s">
        <v>315</v>
      </c>
      <c r="BA7" s="16">
        <v>21700</v>
      </c>
      <c r="BB7" s="16">
        <v>25</v>
      </c>
      <c r="BC7" s="16">
        <f>2.25*10^-4</f>
        <v>2.2500000000000002E-4</v>
      </c>
      <c r="BE7" s="194"/>
      <c r="BF7" s="194"/>
      <c r="BG7" s="194"/>
      <c r="BH7" s="194"/>
      <c r="BI7" s="194"/>
    </row>
    <row r="8" spans="1:67" x14ac:dyDescent="0.2">
      <c r="A8" s="25"/>
      <c r="B8" s="26" t="s">
        <v>7</v>
      </c>
      <c r="C8" s="27"/>
      <c r="D8" s="28"/>
      <c r="E8" s="5"/>
      <c r="F8" s="9"/>
      <c r="G8" s="9"/>
      <c r="H8" s="9"/>
      <c r="I8" s="18"/>
      <c r="J8" s="9"/>
      <c r="Q8" s="194">
        <v>4</v>
      </c>
      <c r="R8" s="16" t="s">
        <v>261</v>
      </c>
      <c r="S8" s="16" t="s">
        <v>266</v>
      </c>
      <c r="U8" s="20"/>
      <c r="W8" s="16">
        <v>0.02</v>
      </c>
      <c r="X8" s="16">
        <v>5000</v>
      </c>
      <c r="Y8" s="68">
        <v>0</v>
      </c>
      <c r="Z8" s="68">
        <f>AZ17</f>
        <v>515</v>
      </c>
      <c r="AA8" s="68">
        <v>280</v>
      </c>
      <c r="AB8" s="16">
        <v>3500</v>
      </c>
      <c r="AC8" s="16">
        <v>2100</v>
      </c>
      <c r="AD8" s="16">
        <v>2100</v>
      </c>
      <c r="AE8" s="16">
        <v>150</v>
      </c>
      <c r="AF8" s="16">
        <f>IF($Q$13=1,180,IF($Q$13=2,0,2.1*$G$18))</f>
        <v>180</v>
      </c>
      <c r="AG8" s="16">
        <f t="shared" si="0"/>
        <v>180</v>
      </c>
      <c r="AH8" s="16">
        <v>700</v>
      </c>
      <c r="AI8" s="16">
        <v>55</v>
      </c>
      <c r="AJ8" s="16">
        <v>2.5</v>
      </c>
      <c r="AK8" s="16">
        <v>20</v>
      </c>
      <c r="AL8" s="16">
        <v>0</v>
      </c>
      <c r="AM8" s="16">
        <v>1.6</v>
      </c>
      <c r="AN8" s="16">
        <v>7</v>
      </c>
      <c r="AO8" s="16">
        <v>1.1000000000000001</v>
      </c>
      <c r="AP8" s="16">
        <v>22.5</v>
      </c>
      <c r="AQ8" s="68">
        <v>0</v>
      </c>
      <c r="AR8" s="16">
        <v>48.75</v>
      </c>
      <c r="AS8" s="16" t="s">
        <v>289</v>
      </c>
      <c r="AT8" s="16">
        <v>400</v>
      </c>
      <c r="AU8" s="68">
        <f>2*17919</f>
        <v>35838</v>
      </c>
      <c r="AV8" s="124">
        <f>2*18723</f>
        <v>37446</v>
      </c>
      <c r="AX8" s="16">
        <v>0</v>
      </c>
      <c r="AY8" s="51">
        <v>700</v>
      </c>
      <c r="AZ8" s="16" t="s">
        <v>315</v>
      </c>
      <c r="BA8" s="16">
        <v>27500</v>
      </c>
      <c r="BB8" s="51">
        <v>25</v>
      </c>
      <c r="BC8" s="177">
        <f>BC7</f>
        <v>2.2500000000000002E-4</v>
      </c>
      <c r="BD8" s="177"/>
      <c r="BE8" s="177"/>
      <c r="BF8" s="177"/>
    </row>
    <row r="9" spans="1:67" x14ac:dyDescent="0.2">
      <c r="A9" s="17"/>
      <c r="B9" s="17"/>
      <c r="C9" s="17"/>
      <c r="D9" s="17"/>
      <c r="E9" s="5"/>
      <c r="F9" s="9"/>
      <c r="G9" s="9"/>
      <c r="H9" s="9"/>
      <c r="I9" s="18"/>
      <c r="J9" s="9"/>
      <c r="Q9" s="194">
        <v>5</v>
      </c>
      <c r="R9" s="16" t="s">
        <v>262</v>
      </c>
      <c r="S9" s="16" t="s">
        <v>268</v>
      </c>
      <c r="U9" s="20"/>
      <c r="W9" s="16">
        <v>0.01</v>
      </c>
      <c r="X9" s="20">
        <f>IF($BO$16=40,5000,11000)</f>
        <v>11000</v>
      </c>
      <c r="Y9" s="68">
        <f>180+186</f>
        <v>366</v>
      </c>
      <c r="Z9" s="68">
        <f>IF(Q13=2,BF17,BD17)</f>
        <v>805</v>
      </c>
      <c r="AA9" s="68">
        <v>450</v>
      </c>
      <c r="AB9" s="20">
        <f>IF($BO$16=40,8000,12000)</f>
        <v>12000</v>
      </c>
      <c r="AC9" s="16">
        <v>6000</v>
      </c>
      <c r="AD9" s="16">
        <v>6000</v>
      </c>
      <c r="AE9" s="16">
        <v>500</v>
      </c>
      <c r="AF9" s="16">
        <f>IF($Q$13=1,600,IF($Q$13=2,1500,6*$G$18))</f>
        <v>600</v>
      </c>
      <c r="AG9" s="16">
        <f t="shared" si="0"/>
        <v>600</v>
      </c>
      <c r="AH9" s="16">
        <v>1000</v>
      </c>
      <c r="AI9" s="16">
        <v>80</v>
      </c>
      <c r="AJ9" s="16">
        <v>2</v>
      </c>
      <c r="AK9" s="16">
        <v>20</v>
      </c>
      <c r="AL9" s="16">
        <v>14.2</v>
      </c>
      <c r="AM9" s="16">
        <v>9.25</v>
      </c>
      <c r="AN9" s="16">
        <v>25.91</v>
      </c>
      <c r="AO9" s="16">
        <v>1.93</v>
      </c>
      <c r="AP9" s="16">
        <v>30</v>
      </c>
      <c r="AQ9" s="68">
        <v>186</v>
      </c>
      <c r="AR9" s="16">
        <v>80.75</v>
      </c>
      <c r="AS9" s="16" t="s">
        <v>290</v>
      </c>
      <c r="AT9" s="16">
        <v>1000</v>
      </c>
      <c r="AU9" s="68">
        <f>4*17919</f>
        <v>71676</v>
      </c>
      <c r="AV9" s="124">
        <f>4*18723</f>
        <v>74892</v>
      </c>
      <c r="AX9" s="16">
        <v>1200</v>
      </c>
      <c r="AY9" s="51">
        <v>1500</v>
      </c>
      <c r="AZ9" s="16" t="s">
        <v>316</v>
      </c>
      <c r="BA9" s="16">
        <v>34500</v>
      </c>
      <c r="BB9" s="51">
        <v>32</v>
      </c>
      <c r="BC9" s="177">
        <f>6.34*10^-4</f>
        <v>6.3400000000000001E-4</v>
      </c>
      <c r="BD9" s="177"/>
      <c r="BE9" s="177"/>
      <c r="BF9" s="177"/>
    </row>
    <row r="10" spans="1:67" ht="15" x14ac:dyDescent="0.25">
      <c r="A10" s="25"/>
      <c r="B10" s="26" t="s">
        <v>8</v>
      </c>
      <c r="C10" s="305" t="s">
        <v>267</v>
      </c>
      <c r="D10" s="46"/>
      <c r="E10" s="5"/>
      <c r="F10" s="5"/>
      <c r="G10" s="5"/>
      <c r="H10" s="5"/>
      <c r="I10" s="5"/>
      <c r="J10" s="5"/>
      <c r="Q10" s="177">
        <v>1</v>
      </c>
      <c r="R10" s="194">
        <v>2</v>
      </c>
      <c r="S10" s="194">
        <v>3</v>
      </c>
      <c r="T10" s="194">
        <v>4</v>
      </c>
      <c r="U10" s="194">
        <v>5</v>
      </c>
      <c r="V10" s="194">
        <v>6</v>
      </c>
      <c r="W10" s="194">
        <v>7</v>
      </c>
      <c r="X10" s="194">
        <v>8</v>
      </c>
      <c r="Y10" s="194">
        <v>9</v>
      </c>
      <c r="Z10" s="194">
        <v>10</v>
      </c>
      <c r="AA10" s="194">
        <v>11</v>
      </c>
      <c r="AB10" s="194">
        <v>12</v>
      </c>
      <c r="AC10" s="194">
        <v>13</v>
      </c>
      <c r="AD10" s="194">
        <v>14</v>
      </c>
      <c r="AE10" s="194">
        <v>15</v>
      </c>
      <c r="AF10" s="194">
        <v>16</v>
      </c>
      <c r="AG10" s="194">
        <v>17</v>
      </c>
      <c r="AH10" s="194">
        <v>18</v>
      </c>
      <c r="AI10" s="194">
        <v>19</v>
      </c>
      <c r="AJ10" s="194">
        <v>20</v>
      </c>
      <c r="AK10" s="194">
        <v>21</v>
      </c>
      <c r="AL10" s="194">
        <v>22</v>
      </c>
      <c r="AM10" s="194">
        <v>23</v>
      </c>
      <c r="AN10" s="194">
        <v>24</v>
      </c>
      <c r="AO10" s="194">
        <v>25</v>
      </c>
      <c r="AP10" s="194">
        <v>26</v>
      </c>
      <c r="AQ10" s="194">
        <v>27</v>
      </c>
      <c r="AR10" s="194">
        <v>28</v>
      </c>
      <c r="AS10" s="194">
        <v>29</v>
      </c>
      <c r="AT10" s="194">
        <v>30</v>
      </c>
      <c r="AU10" s="194">
        <v>31</v>
      </c>
      <c r="AV10" s="194">
        <v>32</v>
      </c>
      <c r="AW10" s="194">
        <v>33</v>
      </c>
      <c r="AX10" s="194">
        <v>34</v>
      </c>
      <c r="AY10" s="194">
        <v>35</v>
      </c>
      <c r="AZ10" s="194">
        <v>36</v>
      </c>
      <c r="BA10" s="194">
        <v>37</v>
      </c>
      <c r="BB10" s="194">
        <v>38</v>
      </c>
      <c r="BC10" s="194">
        <v>39</v>
      </c>
      <c r="BD10" s="194">
        <v>40</v>
      </c>
      <c r="BE10" s="194">
        <v>41</v>
      </c>
      <c r="BF10" s="194">
        <v>42</v>
      </c>
      <c r="BG10" s="194">
        <v>43</v>
      </c>
      <c r="BH10" s="194">
        <v>44</v>
      </c>
      <c r="BI10" s="194">
        <v>45</v>
      </c>
    </row>
    <row r="11" spans="1:67" ht="15" x14ac:dyDescent="0.25">
      <c r="A11" s="25"/>
      <c r="B11" s="33" t="s">
        <v>98</v>
      </c>
      <c r="C11" s="305" t="str">
        <f>S4</f>
        <v>Ball screw Ø20 with single ball nut</v>
      </c>
      <c r="D11" s="29"/>
      <c r="E11" s="17"/>
      <c r="F11" s="29"/>
      <c r="G11" s="30"/>
      <c r="H11" s="31"/>
      <c r="I11" s="29"/>
      <c r="J11" s="29"/>
    </row>
    <row r="12" spans="1:67" ht="15" x14ac:dyDescent="0.25">
      <c r="A12" s="17"/>
      <c r="B12" s="23" t="s">
        <v>269</v>
      </c>
      <c r="C12" s="17"/>
      <c r="D12" s="17"/>
      <c r="E12" s="17"/>
      <c r="F12" s="29"/>
      <c r="G12" s="30"/>
      <c r="H12" s="32"/>
      <c r="I12" s="29"/>
      <c r="J12" s="29"/>
      <c r="S12" s="16" t="s">
        <v>307</v>
      </c>
    </row>
    <row r="13" spans="1:67" ht="15" x14ac:dyDescent="0.25">
      <c r="A13" s="17"/>
      <c r="B13" s="17"/>
      <c r="C13" s="17"/>
      <c r="D13" s="17"/>
      <c r="E13" s="29"/>
      <c r="F13" s="29"/>
      <c r="G13" s="30"/>
      <c r="H13" s="17"/>
      <c r="I13" s="29"/>
      <c r="J13" s="29"/>
      <c r="Q13" s="111">
        <v>1</v>
      </c>
      <c r="S13" s="16">
        <f>IF(Q13=3,2,1)</f>
        <v>1</v>
      </c>
      <c r="U13" s="16">
        <f>VLOOKUP(Q13,Q14:U16,5)</f>
        <v>0</v>
      </c>
      <c r="V13" s="110">
        <f>VLOOKUP(Q13,Q14:V16,6)</f>
        <v>1</v>
      </c>
      <c r="W13" s="110" t="str">
        <f>VLOOKUP(Q13,Q14:W16,7)</f>
        <v>S</v>
      </c>
      <c r="X13" s="112">
        <v>1</v>
      </c>
      <c r="Y13" s="16">
        <f>IF(X13=1,1,0)</f>
        <v>1</v>
      </c>
      <c r="AB13" s="16" t="s">
        <v>295</v>
      </c>
      <c r="AK13" s="223">
        <f>IF(Q4=4,1,1.5)</f>
        <v>1.5</v>
      </c>
      <c r="AL13" s="16" t="s">
        <v>296</v>
      </c>
    </row>
    <row r="14" spans="1:67" ht="15.75" thickBot="1" x14ac:dyDescent="0.3">
      <c r="A14" s="17"/>
      <c r="B14" s="23" t="s">
        <v>17</v>
      </c>
      <c r="C14" s="36">
        <f>BO16</f>
        <v>5</v>
      </c>
      <c r="D14" s="18" t="s">
        <v>10</v>
      </c>
      <c r="E14" s="17"/>
      <c r="F14" s="17"/>
      <c r="G14" s="17"/>
      <c r="H14" s="17"/>
      <c r="I14" s="17"/>
      <c r="J14" s="29"/>
      <c r="Q14" s="19">
        <v>1</v>
      </c>
      <c r="R14" s="16" t="str">
        <f>IF(OR($Q$4=2,$Q$4=4),"S = Single short carriage","N = Single standard carriage")</f>
        <v>S = Single short carriage</v>
      </c>
      <c r="U14" s="16">
        <f>AQ4</f>
        <v>0</v>
      </c>
      <c r="V14" s="110">
        <f>AM4</f>
        <v>1</v>
      </c>
      <c r="W14" s="16" t="str">
        <f>IF(OR($Q$4=2,$Q$4=4),"S","N")</f>
        <v>S</v>
      </c>
      <c r="X14" s="16">
        <v>1</v>
      </c>
      <c r="Y14" s="16" t="s">
        <v>76</v>
      </c>
      <c r="AB14" s="16" t="s">
        <v>297</v>
      </c>
    </row>
    <row r="15" spans="1:67" ht="15.75" thickBot="1" x14ac:dyDescent="0.3">
      <c r="A15" s="17"/>
      <c r="B15" s="23" t="s">
        <v>11</v>
      </c>
      <c r="C15" s="36">
        <f>W4</f>
        <v>0.02</v>
      </c>
      <c r="D15" s="17" t="s">
        <v>10</v>
      </c>
      <c r="E15" s="17"/>
      <c r="F15" s="37"/>
      <c r="G15" s="38"/>
      <c r="H15" s="39"/>
      <c r="I15" s="29"/>
      <c r="J15" s="29"/>
      <c r="Q15" s="19">
        <v>2</v>
      </c>
      <c r="R15" s="16" t="str">
        <f>IF(OR($Q$4=2,$Q$4=4)," ","L = Single long carriage")</f>
        <v xml:space="preserve"> </v>
      </c>
      <c r="U15" s="16">
        <f>Y4</f>
        <v>0</v>
      </c>
      <c r="V15" s="110">
        <f>IF(Q4=1,1.47,IF(Q4=2,3.43,8.67))</f>
        <v>3.43</v>
      </c>
      <c r="W15" s="16" t="str">
        <f>IF(OR($Q$4=2,$Q$4=4),"? ","L")</f>
        <v xml:space="preserve">? </v>
      </c>
      <c r="X15" s="16">
        <v>2</v>
      </c>
      <c r="Y15" s="16" t="s">
        <v>77</v>
      </c>
      <c r="AQ15" s="203"/>
      <c r="AR15" s="204"/>
      <c r="AS15" s="204"/>
      <c r="AT15" s="204"/>
      <c r="AU15" s="204"/>
      <c r="AV15" s="206" t="s">
        <v>276</v>
      </c>
      <c r="AW15" s="204"/>
      <c r="AX15" s="204"/>
      <c r="AY15" s="204"/>
      <c r="AZ15" s="204"/>
      <c r="BA15" s="204"/>
      <c r="BB15" s="204"/>
      <c r="BC15" s="204"/>
      <c r="BD15" s="204"/>
      <c r="BE15" s="204"/>
      <c r="BF15" s="205"/>
      <c r="BH15" s="225"/>
      <c r="BI15" s="226"/>
      <c r="BJ15" s="226"/>
      <c r="BK15" s="226" t="s">
        <v>281</v>
      </c>
      <c r="BL15" s="226"/>
      <c r="BM15" s="226"/>
      <c r="BN15" s="226"/>
      <c r="BO15" s="227"/>
    </row>
    <row r="16" spans="1:67" ht="15" x14ac:dyDescent="0.2">
      <c r="A16" s="22"/>
      <c r="B16" s="17"/>
      <c r="C16" s="17"/>
      <c r="D16" s="17"/>
      <c r="E16" s="17"/>
      <c r="F16" s="37"/>
      <c r="G16" s="38"/>
      <c r="H16" s="39"/>
      <c r="I16" s="29"/>
      <c r="J16" s="29"/>
      <c r="Q16" s="19">
        <v>3</v>
      </c>
      <c r="R16" s="16" t="str">
        <f>IF(OR($Q$4=2,$Q$4=4),"Y = Double short carriages","Z = Double standard carriages")</f>
        <v>Y = Double short carriages</v>
      </c>
      <c r="U16" s="16">
        <f>G18</f>
        <v>500</v>
      </c>
      <c r="V16" s="110">
        <f>2*AM4</f>
        <v>2</v>
      </c>
      <c r="W16" s="16" t="str">
        <f>IF(OR($Q$4=2,$Q$4=4),"Y","Z")</f>
        <v>Y</v>
      </c>
      <c r="AQ16" s="92"/>
      <c r="AR16" s="207" t="s">
        <v>258</v>
      </c>
      <c r="AT16" s="207" t="s">
        <v>259</v>
      </c>
      <c r="AU16" s="16" t="s">
        <v>278</v>
      </c>
      <c r="AW16" s="92"/>
      <c r="AX16" s="207" t="s">
        <v>260</v>
      </c>
      <c r="AY16" s="92"/>
      <c r="AZ16" s="207" t="s">
        <v>261</v>
      </c>
      <c r="BA16" s="16" t="s">
        <v>279</v>
      </c>
      <c r="BC16" s="92"/>
      <c r="BD16" s="213" t="s">
        <v>262</v>
      </c>
      <c r="BE16" s="215" t="s">
        <v>280</v>
      </c>
      <c r="BF16" s="216"/>
      <c r="BH16" s="197">
        <f>Q4</f>
        <v>2</v>
      </c>
      <c r="BI16" s="90" t="s">
        <v>258</v>
      </c>
      <c r="BJ16" s="90" t="s">
        <v>259</v>
      </c>
      <c r="BK16" s="90" t="s">
        <v>260</v>
      </c>
      <c r="BL16" s="90" t="s">
        <v>261</v>
      </c>
      <c r="BM16" s="90" t="s">
        <v>262</v>
      </c>
      <c r="BN16" s="217">
        <v>1</v>
      </c>
      <c r="BO16" s="231">
        <f>VLOOKUP(BN16,BN17:BO20,2)</f>
        <v>5</v>
      </c>
    </row>
    <row r="17" spans="1:67" ht="15" x14ac:dyDescent="0.25">
      <c r="A17" s="17"/>
      <c r="B17" s="17"/>
      <c r="C17" s="17"/>
      <c r="D17" s="17"/>
      <c r="E17" s="17"/>
      <c r="F17" s="49" t="str">
        <f>IF(AND(OR(Q4=2,Q4=4),Q13=2),"Long carriage not available"," ")</f>
        <v xml:space="preserve"> </v>
      </c>
      <c r="G17" s="17"/>
      <c r="H17" s="17"/>
      <c r="I17" s="17"/>
      <c r="J17" s="17"/>
      <c r="Q17" s="19"/>
      <c r="AA17" s="16" t="s">
        <v>94</v>
      </c>
      <c r="AF17" s="16" t="s">
        <v>299</v>
      </c>
      <c r="AQ17" s="212" t="s">
        <v>277</v>
      </c>
      <c r="AR17" s="209">
        <f>VLOOKUP(C19,AQ18:AR34,2)</f>
        <v>650</v>
      </c>
      <c r="AS17" s="212" t="s">
        <v>277</v>
      </c>
      <c r="AT17" s="209">
        <f>VLOOKUP(C19,AS18:AT35,2)</f>
        <v>480</v>
      </c>
      <c r="AU17" s="212" t="s">
        <v>277</v>
      </c>
      <c r="AV17" s="194">
        <f>VLOOKUP(C19,AU18:AV34,2)</f>
        <v>840</v>
      </c>
      <c r="AW17" s="212" t="s">
        <v>277</v>
      </c>
      <c r="AX17" s="209">
        <f>VLOOKUP(C19,AW18:AX32,2)</f>
        <v>635</v>
      </c>
      <c r="AY17" s="212" t="s">
        <v>277</v>
      </c>
      <c r="AZ17" s="209">
        <f>VLOOKUP(C19,AY18:AZ33,2)</f>
        <v>515</v>
      </c>
      <c r="BA17" s="51" t="s">
        <v>277</v>
      </c>
      <c r="BB17" s="209">
        <f>VLOOKUP(C19,BA18:BB33,2)</f>
        <v>805</v>
      </c>
      <c r="BC17" s="212" t="s">
        <v>277</v>
      </c>
      <c r="BD17" s="209">
        <f>VLOOKUP(C19,BC18:BD31,2)</f>
        <v>805</v>
      </c>
      <c r="BE17" s="212" t="s">
        <v>277</v>
      </c>
      <c r="BF17" s="209">
        <f>VLOOKUP(C19,BE18:BF31,2)</f>
        <v>985</v>
      </c>
      <c r="BH17" s="197"/>
      <c r="BI17" s="222">
        <v>5</v>
      </c>
      <c r="BJ17" s="222">
        <v>5</v>
      </c>
      <c r="BK17" s="222">
        <v>5</v>
      </c>
      <c r="BL17" s="222">
        <v>5</v>
      </c>
      <c r="BM17" s="222">
        <v>5</v>
      </c>
      <c r="BN17" s="90">
        <v>1</v>
      </c>
      <c r="BO17" s="198">
        <v>5</v>
      </c>
    </row>
    <row r="18" spans="1:67" ht="15" x14ac:dyDescent="0.25">
      <c r="A18" s="25"/>
      <c r="B18" s="26" t="s">
        <v>9</v>
      </c>
      <c r="C18" s="328"/>
      <c r="D18" s="329"/>
      <c r="E18" s="32" t="str">
        <f>IF(K22=2,"Not available"," ")</f>
        <v xml:space="preserve"> </v>
      </c>
      <c r="F18" s="26" t="str">
        <f>IF(Q13=3,"LA ="," ")</f>
        <v xml:space="preserve"> </v>
      </c>
      <c r="G18" s="34">
        <v>500</v>
      </c>
      <c r="H18" s="35" t="str">
        <f>IF(Q13=3,"mm","Only when C-saddle")</f>
        <v>Only when C-saddle</v>
      </c>
      <c r="I18" s="49" t="str">
        <f>IF(AND(Q13=3,G18&lt;AA4),"Too short"," ")</f>
        <v xml:space="preserve"> </v>
      </c>
      <c r="J18" s="29"/>
      <c r="Q18" s="111">
        <v>1</v>
      </c>
      <c r="R18" s="16" t="s">
        <v>93</v>
      </c>
      <c r="S18" s="130">
        <f>Q18-1</f>
        <v>0</v>
      </c>
      <c r="T18" s="111">
        <v>1</v>
      </c>
      <c r="W18" s="112">
        <v>1</v>
      </c>
      <c r="AA18" s="16">
        <f>IF(AND(Q18=1,T18=1,W18=1),1,IF(AND(Q18=2,T18=1,W18=1),2,IF(AND(Q18=1,T18=1,W18=2),3,IF(AND(Q18=2,T18=1,W18=2),4,IF(AND(Q18=1,T18=2),5,IF(AND(Q18=2,T18=2),6,""))))))</f>
        <v>1</v>
      </c>
      <c r="AF18" s="233">
        <f>IF(AND(Q4=2,Q13=1),1,IF(AND(Q4=4,Q13=1),1,0))</f>
        <v>1</v>
      </c>
      <c r="AQ18" s="92">
        <v>0</v>
      </c>
      <c r="AR18" s="207">
        <v>460</v>
      </c>
      <c r="AS18" s="16">
        <v>0</v>
      </c>
      <c r="AT18" s="207">
        <v>335</v>
      </c>
      <c r="AU18" s="16">
        <v>0</v>
      </c>
      <c r="AV18" s="16">
        <v>650</v>
      </c>
      <c r="AW18" s="92">
        <v>0</v>
      </c>
      <c r="AX18" s="207">
        <v>500</v>
      </c>
      <c r="AY18" s="92">
        <v>0</v>
      </c>
      <c r="AZ18" s="207">
        <v>350</v>
      </c>
      <c r="BA18" s="16">
        <v>0</v>
      </c>
      <c r="BB18" s="16">
        <v>670</v>
      </c>
      <c r="BC18" s="92">
        <v>0</v>
      </c>
      <c r="BD18" s="207">
        <v>595</v>
      </c>
      <c r="BE18" s="92">
        <v>0</v>
      </c>
      <c r="BF18" s="207">
        <v>775</v>
      </c>
      <c r="BH18" s="197"/>
      <c r="BI18" s="222">
        <v>20</v>
      </c>
      <c r="BJ18" s="222">
        <v>20</v>
      </c>
      <c r="BK18" s="222">
        <v>10</v>
      </c>
      <c r="BL18" s="222">
        <v>10</v>
      </c>
      <c r="BM18" s="222">
        <v>10</v>
      </c>
      <c r="BN18" s="90">
        <v>2</v>
      </c>
      <c r="BO18" s="198">
        <f>IF(BH16&gt;2,10,20)</f>
        <v>20</v>
      </c>
    </row>
    <row r="19" spans="1:67" ht="15" x14ac:dyDescent="0.25">
      <c r="A19" s="22"/>
      <c r="B19" s="23" t="s">
        <v>15</v>
      </c>
      <c r="C19" s="40">
        <v>2100</v>
      </c>
      <c r="D19" s="18" t="s">
        <v>10</v>
      </c>
      <c r="E19" s="17"/>
      <c r="F19" s="23" t="s">
        <v>16</v>
      </c>
      <c r="G19" s="36">
        <f>C19+Z4+IF(Q13=3,G18,0)</f>
        <v>2580</v>
      </c>
      <c r="H19" s="41" t="s">
        <v>10</v>
      </c>
      <c r="I19" s="29"/>
      <c r="J19" s="29"/>
      <c r="Q19" s="19" t="s">
        <v>95</v>
      </c>
      <c r="T19" s="19">
        <v>1</v>
      </c>
      <c r="U19" s="16" t="s">
        <v>18</v>
      </c>
      <c r="W19" s="16">
        <v>1</v>
      </c>
      <c r="X19" s="16" t="str">
        <f>IF(T18=1,"Top or downward"," ")</f>
        <v>Top or downward</v>
      </c>
      <c r="AA19" s="16" t="str">
        <f>R103</f>
        <v>Horizontal mounting, single unit, carriage at top</v>
      </c>
      <c r="AH19" s="68"/>
      <c r="AI19" s="68"/>
      <c r="AQ19" s="92">
        <v>696</v>
      </c>
      <c r="AR19" s="207">
        <v>560</v>
      </c>
      <c r="AS19" s="16">
        <v>581</v>
      </c>
      <c r="AT19" s="207">
        <v>390</v>
      </c>
      <c r="AU19" s="16">
        <v>506</v>
      </c>
      <c r="AV19" s="16">
        <v>750</v>
      </c>
      <c r="AW19" s="92">
        <v>781</v>
      </c>
      <c r="AX19" s="207">
        <v>595</v>
      </c>
      <c r="AY19" s="92">
        <v>681</v>
      </c>
      <c r="AZ19" s="207">
        <v>425</v>
      </c>
      <c r="BA19" s="16">
        <v>611</v>
      </c>
      <c r="BB19" s="16">
        <v>765</v>
      </c>
      <c r="BC19" s="92">
        <v>891</v>
      </c>
      <c r="BD19" s="207">
        <v>735</v>
      </c>
      <c r="BE19" s="92">
        <v>711</v>
      </c>
      <c r="BF19" s="207">
        <v>915</v>
      </c>
      <c r="BH19" s="197"/>
      <c r="BI19" s="222">
        <v>50</v>
      </c>
      <c r="BJ19" s="222">
        <v>50</v>
      </c>
      <c r="BK19" s="222">
        <v>20</v>
      </c>
      <c r="BL19" s="222">
        <v>20</v>
      </c>
      <c r="BM19" s="222">
        <v>20</v>
      </c>
      <c r="BN19" s="90">
        <v>3</v>
      </c>
      <c r="BO19" s="198">
        <f>IF(BH16&gt;2,20,50)</f>
        <v>50</v>
      </c>
    </row>
    <row r="20" spans="1:67" ht="15" x14ac:dyDescent="0.25">
      <c r="A20" s="17"/>
      <c r="B20" s="17"/>
      <c r="C20" s="49" t="str">
        <f>IF(C19&gt;X4,"Longer than standard. Check with plant"," ")</f>
        <v xml:space="preserve"> </v>
      </c>
      <c r="D20" s="17"/>
      <c r="E20" s="108"/>
      <c r="F20" s="108"/>
      <c r="G20" s="17"/>
      <c r="H20" s="17"/>
      <c r="I20" s="29"/>
      <c r="J20" s="29"/>
      <c r="Q20" s="19" t="s">
        <v>96</v>
      </c>
      <c r="T20" s="19">
        <v>2</v>
      </c>
      <c r="U20" s="16" t="s">
        <v>19</v>
      </c>
      <c r="W20" s="16">
        <v>2</v>
      </c>
      <c r="X20" s="16" t="str">
        <f>IF(T18=1,"Sideway"," ")</f>
        <v>Sideway</v>
      </c>
      <c r="AH20" s="68"/>
      <c r="AI20" s="68"/>
      <c r="AQ20" s="92">
        <v>1336</v>
      </c>
      <c r="AR20" s="207">
        <v>600</v>
      </c>
      <c r="AS20" s="16">
        <v>1141</v>
      </c>
      <c r="AT20" s="207">
        <v>430</v>
      </c>
      <c r="AU20" s="16">
        <v>1146</v>
      </c>
      <c r="AV20" s="16">
        <v>790</v>
      </c>
      <c r="AW20" s="92">
        <v>1536</v>
      </c>
      <c r="AX20" s="207">
        <v>635</v>
      </c>
      <c r="AY20" s="92">
        <v>1311</v>
      </c>
      <c r="AZ20" s="207">
        <v>475</v>
      </c>
      <c r="BA20" s="16">
        <v>1366</v>
      </c>
      <c r="BB20" s="16">
        <v>805</v>
      </c>
      <c r="BC20" s="92">
        <v>1696</v>
      </c>
      <c r="BD20" s="207">
        <v>805</v>
      </c>
      <c r="BE20" s="92">
        <v>1516</v>
      </c>
      <c r="BF20" s="207">
        <v>985</v>
      </c>
      <c r="BH20" s="197"/>
      <c r="BI20" s="222"/>
      <c r="BJ20" s="222"/>
      <c r="BK20" s="222">
        <v>50</v>
      </c>
      <c r="BL20" s="222">
        <v>50</v>
      </c>
      <c r="BM20" s="222">
        <v>40</v>
      </c>
      <c r="BN20" s="90">
        <v>4</v>
      </c>
      <c r="BO20" s="198" t="str">
        <f>IF(BH16&lt;=2," - ",IF(BH16=5,40,50))</f>
        <v xml:space="preserve"> - </v>
      </c>
    </row>
    <row r="21" spans="1:67" ht="15" x14ac:dyDescent="0.25">
      <c r="A21" s="22"/>
      <c r="B21" s="22"/>
      <c r="C21" s="42" t="s">
        <v>97</v>
      </c>
      <c r="D21" s="18"/>
      <c r="E21" s="106"/>
      <c r="F21" s="107"/>
      <c r="G21" s="38"/>
      <c r="H21" s="39"/>
      <c r="I21" s="29"/>
      <c r="J21" s="29"/>
      <c r="Q21" s="19"/>
      <c r="AH21" s="68"/>
      <c r="AI21" s="68"/>
      <c r="AQ21" s="92">
        <v>2076</v>
      </c>
      <c r="AR21" s="207">
        <v>650</v>
      </c>
      <c r="AS21" s="16">
        <v>1806</v>
      </c>
      <c r="AT21" s="207">
        <v>480</v>
      </c>
      <c r="AU21" s="16">
        <v>1886</v>
      </c>
      <c r="AV21" s="16">
        <v>840</v>
      </c>
      <c r="AW21" s="92">
        <v>2376</v>
      </c>
      <c r="AX21" s="207">
        <v>685</v>
      </c>
      <c r="AY21" s="92">
        <v>2066</v>
      </c>
      <c r="AZ21" s="207">
        <v>515</v>
      </c>
      <c r="BA21" s="16">
        <v>2206</v>
      </c>
      <c r="BB21" s="16">
        <v>855</v>
      </c>
      <c r="BC21" s="92">
        <v>2626</v>
      </c>
      <c r="BD21" s="207">
        <v>875</v>
      </c>
      <c r="BE21" s="92">
        <v>2446</v>
      </c>
      <c r="BF21" s="207">
        <v>1055</v>
      </c>
      <c r="BH21" s="228"/>
      <c r="BI21" s="218" t="s">
        <v>293</v>
      </c>
      <c r="BJ21" s="218"/>
      <c r="BK21" s="218"/>
      <c r="BL21" s="218"/>
      <c r="BM21" s="218"/>
      <c r="BN21" s="232">
        <f>BN16</f>
        <v>1</v>
      </c>
      <c r="BO21" s="231">
        <f>VLOOKUP(BN21,BN22:BO25,2)</f>
        <v>10500</v>
      </c>
    </row>
    <row r="22" spans="1:67" ht="15" x14ac:dyDescent="0.25">
      <c r="A22" s="22" t="str">
        <f>IF(Q18=2,"Distance between  linear units"," ")</f>
        <v xml:space="preserve"> </v>
      </c>
      <c r="B22" s="23"/>
      <c r="C22" s="18"/>
      <c r="D22" s="331">
        <v>800</v>
      </c>
      <c r="E22" s="106"/>
      <c r="F22" s="108"/>
      <c r="G22" s="17"/>
      <c r="H22" s="17"/>
      <c r="I22" s="29"/>
      <c r="J22" s="29"/>
      <c r="Q22" s="19"/>
      <c r="X22" s="51" t="s">
        <v>70</v>
      </c>
      <c r="Y22" s="19">
        <v>0.1</v>
      </c>
      <c r="AQ22" s="92">
        <v>2781</v>
      </c>
      <c r="AR22" s="207">
        <v>690</v>
      </c>
      <c r="AS22" s="16">
        <v>2461</v>
      </c>
      <c r="AT22" s="207">
        <v>520</v>
      </c>
      <c r="AU22" s="16">
        <v>2591</v>
      </c>
      <c r="AV22" s="16">
        <v>880</v>
      </c>
      <c r="AW22" s="92">
        <v>3206</v>
      </c>
      <c r="AX22" s="207">
        <v>725</v>
      </c>
      <c r="AY22" s="92">
        <v>2831</v>
      </c>
      <c r="AZ22" s="207">
        <v>565</v>
      </c>
      <c r="BA22" s="16">
        <v>3036</v>
      </c>
      <c r="BB22" s="16">
        <v>895</v>
      </c>
      <c r="BC22" s="92">
        <v>3556</v>
      </c>
      <c r="BD22" s="207">
        <v>945</v>
      </c>
      <c r="BE22" s="92">
        <v>3376</v>
      </c>
      <c r="BF22" s="207">
        <v>1125</v>
      </c>
      <c r="BH22" s="229"/>
      <c r="BI22" s="88">
        <v>10500</v>
      </c>
      <c r="BJ22" s="88">
        <v>10500</v>
      </c>
      <c r="BK22" s="88">
        <v>12300</v>
      </c>
      <c r="BL22" s="88">
        <v>12300</v>
      </c>
      <c r="BM22" s="88">
        <v>21500</v>
      </c>
      <c r="BN22" s="88">
        <v>1</v>
      </c>
      <c r="BO22" s="230">
        <f>IF($BH$16&lt;=2,BI22,IF(BH16=5,BM22,BK22))</f>
        <v>10500</v>
      </c>
    </row>
    <row r="23" spans="1:67" ht="15" x14ac:dyDescent="0.25">
      <c r="A23" s="17"/>
      <c r="B23" s="17"/>
      <c r="C23" s="17"/>
      <c r="D23" s="43"/>
      <c r="E23" s="29"/>
      <c r="F23" s="26"/>
      <c r="G23" s="17"/>
      <c r="H23" s="29"/>
      <c r="I23" s="17"/>
      <c r="J23" s="29"/>
      <c r="Q23" s="87" t="s">
        <v>90</v>
      </c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114"/>
      <c r="AF23" s="114"/>
      <c r="AH23" s="51" t="s">
        <v>351</v>
      </c>
      <c r="AI23" s="224" t="s">
        <v>350</v>
      </c>
      <c r="AQ23" s="92">
        <v>3546</v>
      </c>
      <c r="AR23" s="207">
        <v>730</v>
      </c>
      <c r="AS23" s="16">
        <v>3126</v>
      </c>
      <c r="AT23" s="207">
        <v>570</v>
      </c>
      <c r="AU23" s="16">
        <v>3356</v>
      </c>
      <c r="AV23" s="16">
        <v>920</v>
      </c>
      <c r="AW23" s="92">
        <v>4046</v>
      </c>
      <c r="AX23" s="207">
        <v>765</v>
      </c>
      <c r="AY23" s="92">
        <v>3591</v>
      </c>
      <c r="AZ23" s="207">
        <v>605</v>
      </c>
      <c r="BA23" s="16">
        <v>3876</v>
      </c>
      <c r="BB23" s="16">
        <v>935</v>
      </c>
      <c r="BC23" s="92">
        <v>4486</v>
      </c>
      <c r="BD23" s="207">
        <v>1015</v>
      </c>
      <c r="BE23" s="92">
        <v>4306</v>
      </c>
      <c r="BF23" s="207">
        <v>1195</v>
      </c>
      <c r="BH23" s="197"/>
      <c r="BI23" s="90">
        <v>11600</v>
      </c>
      <c r="BJ23" s="90">
        <v>11600</v>
      </c>
      <c r="BK23" s="90">
        <v>13200</v>
      </c>
      <c r="BL23" s="90">
        <v>13200</v>
      </c>
      <c r="BM23" s="90">
        <v>33400</v>
      </c>
      <c r="BN23" s="90">
        <v>2</v>
      </c>
      <c r="BO23" s="198">
        <f t="shared" ref="BO23:BO25" si="1">IF($BH$16&lt;=2,BI23,IF(BH17=5,BM23,BK23))</f>
        <v>11600</v>
      </c>
    </row>
    <row r="24" spans="1:67" ht="15" x14ac:dyDescent="0.25">
      <c r="A24" s="44"/>
      <c r="B24" s="29"/>
      <c r="C24" s="33" t="s">
        <v>12</v>
      </c>
      <c r="D24" s="45">
        <f>Q18*(AN4+G19/100*AO4+IF(Q13=2,AL4,IF(Q13=3,1.5*AM4,AM4)))</f>
        <v>21.57</v>
      </c>
      <c r="E24" s="29" t="s">
        <v>13</v>
      </c>
      <c r="F24" s="17"/>
      <c r="G24" s="36" t="str">
        <f>IF(M33=0," ",IF(C27/2000&gt;#REF!,"OK","Too much"))</f>
        <v xml:space="preserve"> </v>
      </c>
      <c r="H24" s="17"/>
      <c r="I24" s="29"/>
      <c r="J24" s="29"/>
      <c r="Q24" s="89" t="s">
        <v>66</v>
      </c>
      <c r="R24" s="90"/>
      <c r="S24" s="90"/>
      <c r="T24" s="90"/>
      <c r="U24" s="90"/>
      <c r="V24" s="90"/>
      <c r="W24" s="242" t="s">
        <v>348</v>
      </c>
      <c r="X24" s="90"/>
      <c r="Y24" s="90"/>
      <c r="Z24" s="90"/>
      <c r="AA24" s="90"/>
      <c r="AB24" s="91" t="s">
        <v>72</v>
      </c>
      <c r="AC24" s="90"/>
      <c r="AD24" s="90"/>
      <c r="AE24" s="467"/>
      <c r="AF24" s="473"/>
      <c r="AH24" s="51" t="s">
        <v>352</v>
      </c>
      <c r="AI24" s="16" t="s">
        <v>353</v>
      </c>
      <c r="AQ24" s="92">
        <v>4286</v>
      </c>
      <c r="AR24" s="207">
        <v>780</v>
      </c>
      <c r="AS24" s="16">
        <v>3781</v>
      </c>
      <c r="AT24" s="207">
        <v>610</v>
      </c>
      <c r="AU24" s="16">
        <v>4096</v>
      </c>
      <c r="AV24" s="16">
        <v>970</v>
      </c>
      <c r="AW24" s="92">
        <v>4886</v>
      </c>
      <c r="AX24" s="207">
        <v>815</v>
      </c>
      <c r="AY24" s="92">
        <v>4355</v>
      </c>
      <c r="AZ24" s="207">
        <v>645</v>
      </c>
      <c r="BA24" s="16">
        <v>4716</v>
      </c>
      <c r="BB24" s="16">
        <v>985</v>
      </c>
      <c r="BC24" s="92">
        <v>5416</v>
      </c>
      <c r="BD24" s="207">
        <v>1085</v>
      </c>
      <c r="BE24" s="92">
        <v>5236</v>
      </c>
      <c r="BF24" s="207">
        <v>1265</v>
      </c>
      <c r="BH24" s="197"/>
      <c r="BI24" s="90">
        <v>8400</v>
      </c>
      <c r="BJ24" s="90">
        <v>8400</v>
      </c>
      <c r="BK24" s="90">
        <v>13000</v>
      </c>
      <c r="BL24" s="90">
        <v>13000</v>
      </c>
      <c r="BM24" s="90">
        <v>29700</v>
      </c>
      <c r="BN24" s="90">
        <v>3</v>
      </c>
      <c r="BO24" s="198">
        <f t="shared" si="1"/>
        <v>8400</v>
      </c>
    </row>
    <row r="25" spans="1:67" ht="15.75" thickBot="1" x14ac:dyDescent="0.3">
      <c r="A25" s="17"/>
      <c r="B25" s="17"/>
      <c r="C25" s="17"/>
      <c r="D25" s="17"/>
      <c r="E25" s="29"/>
      <c r="F25" s="26" t="str">
        <f>IF(M33=0," ","Deflection")</f>
        <v xml:space="preserve"> </v>
      </c>
      <c r="G25" s="17"/>
      <c r="H25" s="17"/>
      <c r="I25" s="17"/>
      <c r="J25" s="17"/>
      <c r="Q25" s="92"/>
      <c r="R25" s="90" t="s">
        <v>67</v>
      </c>
      <c r="S25" s="90" t="s">
        <v>68</v>
      </c>
      <c r="T25" s="90" t="s">
        <v>69</v>
      </c>
      <c r="U25" s="90"/>
      <c r="V25" s="90" t="s">
        <v>71</v>
      </c>
      <c r="W25" s="242" t="s">
        <v>349</v>
      </c>
      <c r="X25" s="90"/>
      <c r="Y25" s="93" t="s">
        <v>69</v>
      </c>
      <c r="Z25" s="90"/>
      <c r="AA25" s="90"/>
      <c r="AB25" s="91" t="s">
        <v>73</v>
      </c>
      <c r="AC25" s="90" t="s">
        <v>74</v>
      </c>
      <c r="AD25" s="90"/>
      <c r="AE25" s="114"/>
      <c r="AF25" s="114"/>
      <c r="AQ25" s="92">
        <v>5016</v>
      </c>
      <c r="AR25" s="207">
        <v>820</v>
      </c>
      <c r="AS25" s="16">
        <v>4446</v>
      </c>
      <c r="AT25" s="207">
        <v>650</v>
      </c>
      <c r="AU25" s="16">
        <v>4826</v>
      </c>
      <c r="AV25" s="16">
        <v>1010</v>
      </c>
      <c r="AW25" s="92">
        <v>5716</v>
      </c>
      <c r="AX25" s="207">
        <v>855</v>
      </c>
      <c r="AY25" s="92">
        <v>5116</v>
      </c>
      <c r="AZ25" s="207">
        <v>695</v>
      </c>
      <c r="BA25" s="16">
        <v>5546</v>
      </c>
      <c r="BB25" s="16">
        <v>1025</v>
      </c>
      <c r="BC25" s="92">
        <v>6346</v>
      </c>
      <c r="BD25" s="207">
        <v>1145</v>
      </c>
      <c r="BE25" s="92">
        <v>6166</v>
      </c>
      <c r="BF25" s="207">
        <v>1325</v>
      </c>
      <c r="BH25" s="199"/>
      <c r="BI25" s="200"/>
      <c r="BJ25" s="200"/>
      <c r="BK25" s="200">
        <v>15400</v>
      </c>
      <c r="BL25" s="200">
        <v>15400</v>
      </c>
      <c r="BM25" s="200">
        <v>14900</v>
      </c>
      <c r="BN25" s="200">
        <v>4</v>
      </c>
      <c r="BO25" s="201">
        <f t="shared" si="1"/>
        <v>0</v>
      </c>
    </row>
    <row r="26" spans="1:67" x14ac:dyDescent="0.2">
      <c r="A26" s="25"/>
      <c r="B26" s="42" t="s">
        <v>14</v>
      </c>
      <c r="C26" s="18"/>
      <c r="D26" s="46"/>
      <c r="E26" s="17"/>
      <c r="F26" s="17"/>
      <c r="G26" s="17"/>
      <c r="H26" s="29"/>
      <c r="I26" s="17"/>
      <c r="J26" s="17"/>
      <c r="Q26" s="94" t="s">
        <v>24</v>
      </c>
      <c r="R26" s="91">
        <f>$C$49*10*M50/1000</f>
        <v>0</v>
      </c>
      <c r="S26" s="91">
        <v>0</v>
      </c>
      <c r="T26" s="91">
        <f>Y13*R26+S26+C46</f>
        <v>0</v>
      </c>
      <c r="U26" s="90" t="s">
        <v>27</v>
      </c>
      <c r="V26" s="95">
        <f>T26/AR4*1000*Y22</f>
        <v>0</v>
      </c>
      <c r="W26" s="95">
        <f>V26</f>
        <v>0</v>
      </c>
      <c r="X26" s="90"/>
      <c r="Y26" s="91" t="s">
        <v>20</v>
      </c>
      <c r="Z26" s="96">
        <f>C43+(C49+AM4*S13)*C53+AP4*S13+V34</f>
        <v>18.100000000000001</v>
      </c>
      <c r="AA26" s="90" t="s">
        <v>21</v>
      </c>
      <c r="AB26" s="91">
        <f>AB4</f>
        <v>2800</v>
      </c>
      <c r="AC26" s="90"/>
      <c r="AD26" s="90"/>
      <c r="AE26" s="117"/>
      <c r="AF26" s="117"/>
      <c r="AH26" s="66">
        <f>Z26</f>
        <v>18.100000000000001</v>
      </c>
      <c r="AI26" s="66">
        <f>C43+AP4*S13+W34</f>
        <v>18</v>
      </c>
      <c r="AQ26" s="92">
        <v>5756</v>
      </c>
      <c r="AR26" s="207">
        <v>870</v>
      </c>
      <c r="AS26" s="16">
        <v>5111</v>
      </c>
      <c r="AT26" s="207">
        <v>700</v>
      </c>
      <c r="AU26" s="16">
        <v>5566</v>
      </c>
      <c r="AV26" s="16">
        <v>1060</v>
      </c>
      <c r="AW26" s="92">
        <v>6556</v>
      </c>
      <c r="AX26" s="207">
        <v>905</v>
      </c>
      <c r="AY26" s="92">
        <v>5871</v>
      </c>
      <c r="AZ26" s="207">
        <v>735</v>
      </c>
      <c r="BA26" s="16">
        <v>6386</v>
      </c>
      <c r="BB26" s="16">
        <v>1075</v>
      </c>
      <c r="BC26" s="92">
        <v>7286</v>
      </c>
      <c r="BD26" s="207">
        <v>1215</v>
      </c>
      <c r="BE26" s="92">
        <v>7106</v>
      </c>
      <c r="BF26" s="207">
        <v>1395</v>
      </c>
    </row>
    <row r="27" spans="1:67" x14ac:dyDescent="0.2">
      <c r="A27" s="25"/>
      <c r="B27" s="26"/>
      <c r="C27" s="328"/>
      <c r="D27" s="29"/>
      <c r="E27" s="17"/>
      <c r="F27" s="17"/>
      <c r="G27" s="17"/>
      <c r="H27" s="17"/>
      <c r="I27" s="17"/>
      <c r="J27" s="17"/>
      <c r="Q27" s="94" t="s">
        <v>25</v>
      </c>
      <c r="R27" s="91">
        <f>$C$49*10*M49/1000</f>
        <v>0</v>
      </c>
      <c r="S27" s="91">
        <f>C49*C53*M51/1000</f>
        <v>0</v>
      </c>
      <c r="T27" s="91">
        <f>Y13*R27+S27+C47</f>
        <v>0</v>
      </c>
      <c r="U27" s="90" t="s">
        <v>27</v>
      </c>
      <c r="V27" s="95">
        <f>IF(AF18=1,T27*AK13,T27/U13*1000*Y22)</f>
        <v>0</v>
      </c>
      <c r="W27" s="242">
        <f>IF(AF18=1,(T27-S27)*AK13,(T27-S27)/U13*1000*Y22)</f>
        <v>0</v>
      </c>
      <c r="X27" s="90"/>
      <c r="Y27" s="91" t="s">
        <v>22</v>
      </c>
      <c r="Z27" s="91">
        <f>C44</f>
        <v>0</v>
      </c>
      <c r="AA27" s="90" t="s">
        <v>21</v>
      </c>
      <c r="AB27" s="91">
        <f>AC4</f>
        <v>1400</v>
      </c>
      <c r="AC27" s="97">
        <f>Z27/AB27</f>
        <v>0</v>
      </c>
      <c r="AD27" s="90"/>
      <c r="AE27" s="117"/>
      <c r="AF27" s="117"/>
      <c r="AQ27" s="92">
        <v>6486</v>
      </c>
      <c r="AR27" s="207">
        <v>910</v>
      </c>
      <c r="AS27" s="16">
        <v>5766</v>
      </c>
      <c r="AT27" s="207">
        <v>740</v>
      </c>
      <c r="AU27" s="16">
        <v>6296</v>
      </c>
      <c r="AV27" s="16">
        <v>1100</v>
      </c>
      <c r="AW27" s="92">
        <v>7386</v>
      </c>
      <c r="AX27" s="207">
        <v>945</v>
      </c>
      <c r="AY27" s="92">
        <v>6641</v>
      </c>
      <c r="AZ27" s="207">
        <v>785</v>
      </c>
      <c r="BA27" s="16">
        <v>7216</v>
      </c>
      <c r="BB27" s="16">
        <v>1115</v>
      </c>
      <c r="BC27" s="92">
        <v>8216</v>
      </c>
      <c r="BD27" s="207">
        <v>1275</v>
      </c>
      <c r="BE27" s="92">
        <v>8036</v>
      </c>
      <c r="BF27" s="207">
        <v>1455</v>
      </c>
      <c r="BH27" s="16" t="s">
        <v>326</v>
      </c>
      <c r="BI27" s="16" t="str">
        <f>CONCATENATE(BB4,IF(BO16&lt;10,0,""),BO16,IF(OR(Q4=2,Q4=4),"-S","-D"))</f>
        <v>2005-S</v>
      </c>
    </row>
    <row r="28" spans="1:67" x14ac:dyDescent="0.2">
      <c r="A28" s="17"/>
      <c r="B28" s="17"/>
      <c r="C28" s="17"/>
      <c r="D28" s="17"/>
      <c r="E28" s="17"/>
      <c r="F28" s="17"/>
      <c r="G28" s="353"/>
      <c r="H28" s="17"/>
      <c r="I28" s="17"/>
      <c r="J28" s="17"/>
      <c r="Q28" s="94" t="s">
        <v>26</v>
      </c>
      <c r="R28" s="91">
        <v>0</v>
      </c>
      <c r="S28" s="91">
        <f>C49*C53*M50/1000</f>
        <v>0</v>
      </c>
      <c r="T28" s="91">
        <f>Y13*R28+S28+C48</f>
        <v>0</v>
      </c>
      <c r="U28" s="90" t="s">
        <v>27</v>
      </c>
      <c r="V28" s="95">
        <f>IF(AF18=1,T28*AK13,T28/U13*1000*Y22)</f>
        <v>0</v>
      </c>
      <c r="W28" s="242">
        <f>IF(AF18=1,(T28-S28)*AK13,(T28-S28)/U13*1000*Y22)</f>
        <v>0</v>
      </c>
      <c r="X28" s="90"/>
      <c r="Y28" s="91" t="s">
        <v>23</v>
      </c>
      <c r="Z28" s="91">
        <f>C45+C49*10*Y13</f>
        <v>0</v>
      </c>
      <c r="AA28" s="90" t="s">
        <v>21</v>
      </c>
      <c r="AB28" s="91">
        <f>AD4</f>
        <v>1400</v>
      </c>
      <c r="AC28" s="97">
        <f>Z28/AB28</f>
        <v>0</v>
      </c>
      <c r="AD28" s="90"/>
      <c r="AE28" s="117"/>
      <c r="AF28" s="117"/>
      <c r="AQ28" s="92">
        <v>7251</v>
      </c>
      <c r="AR28" s="207">
        <v>950</v>
      </c>
      <c r="AS28" s="16">
        <v>6431</v>
      </c>
      <c r="AT28" s="207">
        <v>790</v>
      </c>
      <c r="AU28" s="16">
        <v>7061</v>
      </c>
      <c r="AV28" s="16">
        <v>1140</v>
      </c>
      <c r="AW28" s="92">
        <v>8261</v>
      </c>
      <c r="AX28" s="207">
        <v>985</v>
      </c>
      <c r="AY28" s="92">
        <v>7396</v>
      </c>
      <c r="AZ28" s="207">
        <v>825</v>
      </c>
      <c r="BA28" s="16">
        <v>8091</v>
      </c>
      <c r="BB28" s="16">
        <v>1155</v>
      </c>
      <c r="BC28" s="92">
        <v>9241</v>
      </c>
      <c r="BD28" s="207">
        <v>1345</v>
      </c>
      <c r="BE28" s="92">
        <v>9061</v>
      </c>
      <c r="BF28" s="207">
        <v>1525</v>
      </c>
    </row>
    <row r="29" spans="1:67" x14ac:dyDescent="0.2">
      <c r="A29" s="17"/>
      <c r="B29" s="17"/>
      <c r="C29" s="17"/>
      <c r="D29" s="17"/>
      <c r="E29" s="353"/>
      <c r="F29" s="353"/>
      <c r="G29" s="17"/>
      <c r="H29" s="353"/>
      <c r="I29" s="17"/>
      <c r="J29" s="17"/>
      <c r="Q29" s="94"/>
      <c r="R29" s="90"/>
      <c r="S29" s="90"/>
      <c r="T29" s="90"/>
      <c r="U29" s="90"/>
      <c r="V29" s="90"/>
      <c r="W29" s="90"/>
      <c r="X29" s="90"/>
      <c r="Y29" s="91" t="s">
        <v>24</v>
      </c>
      <c r="Z29" s="91">
        <f>T26</f>
        <v>0</v>
      </c>
      <c r="AA29" s="90" t="s">
        <v>27</v>
      </c>
      <c r="AB29" s="91">
        <f>AE4</f>
        <v>50</v>
      </c>
      <c r="AC29" s="97">
        <f>Z29/AB29</f>
        <v>0</v>
      </c>
      <c r="AD29" s="90"/>
      <c r="AE29" s="117"/>
      <c r="AF29" s="117"/>
      <c r="AQ29" s="92">
        <v>8011</v>
      </c>
      <c r="AR29" s="207">
        <v>1000</v>
      </c>
      <c r="AS29" s="16">
        <v>7091</v>
      </c>
      <c r="AT29" s="207">
        <v>830</v>
      </c>
      <c r="AU29" s="16">
        <v>7821</v>
      </c>
      <c r="AV29" s="16">
        <v>1190</v>
      </c>
      <c r="AW29" s="92">
        <v>9121</v>
      </c>
      <c r="AX29" s="207">
        <v>1035</v>
      </c>
      <c r="AY29" s="92">
        <v>8161</v>
      </c>
      <c r="AZ29" s="207">
        <v>865</v>
      </c>
      <c r="BA29" s="16">
        <v>8951</v>
      </c>
      <c r="BB29" s="16">
        <v>1205</v>
      </c>
      <c r="BC29" s="92">
        <v>10201</v>
      </c>
      <c r="BD29" s="207">
        <v>1415</v>
      </c>
      <c r="BE29" s="92">
        <v>10021</v>
      </c>
      <c r="BF29" s="207">
        <v>1595</v>
      </c>
      <c r="BH29" s="244"/>
      <c r="BI29" s="245" t="s">
        <v>345</v>
      </c>
      <c r="BJ29" s="246">
        <v>150</v>
      </c>
      <c r="BK29" s="246">
        <v>1500</v>
      </c>
      <c r="BL29" s="246">
        <v>3000</v>
      </c>
      <c r="BM29" s="247" t="s">
        <v>129</v>
      </c>
    </row>
    <row r="30" spans="1:67" x14ac:dyDescent="0.2">
      <c r="A30" s="353"/>
      <c r="B30" s="353"/>
      <c r="C30" s="353"/>
      <c r="D30" s="353"/>
      <c r="E30" s="17"/>
      <c r="F30" s="17"/>
      <c r="G30" s="17"/>
      <c r="H30" s="17"/>
      <c r="I30" s="353"/>
      <c r="J30" s="353"/>
      <c r="K30" s="24"/>
      <c r="L30" s="24"/>
      <c r="M30" s="24"/>
      <c r="N30" s="24"/>
      <c r="Q30" s="94" t="s">
        <v>22</v>
      </c>
      <c r="R30" s="90"/>
      <c r="S30" s="90"/>
      <c r="T30" s="90"/>
      <c r="U30" s="90"/>
      <c r="V30" s="91">
        <f>Z27*Y22</f>
        <v>0</v>
      </c>
      <c r="W30" s="242">
        <f>V30</f>
        <v>0</v>
      </c>
      <c r="X30" s="90"/>
      <c r="Y30" s="91" t="s">
        <v>25</v>
      </c>
      <c r="Z30" s="91">
        <f>T27</f>
        <v>0</v>
      </c>
      <c r="AA30" s="90" t="s">
        <v>27</v>
      </c>
      <c r="AB30" s="91">
        <f>AF4</f>
        <v>100</v>
      </c>
      <c r="AC30" s="97">
        <f>Z30/AB30</f>
        <v>0</v>
      </c>
      <c r="AD30" s="90"/>
      <c r="AE30" s="117"/>
      <c r="AF30" s="117"/>
      <c r="AQ30" s="92">
        <v>8761</v>
      </c>
      <c r="AR30" s="207">
        <v>1040</v>
      </c>
      <c r="AS30" s="16">
        <v>7756</v>
      </c>
      <c r="AT30" s="207">
        <v>870</v>
      </c>
      <c r="AU30" s="16">
        <v>8571</v>
      </c>
      <c r="AV30" s="16">
        <v>1230</v>
      </c>
      <c r="AW30" s="92">
        <v>10046</v>
      </c>
      <c r="AX30" s="207">
        <v>1075</v>
      </c>
      <c r="AY30" s="92">
        <v>8926</v>
      </c>
      <c r="AZ30" s="207">
        <v>915</v>
      </c>
      <c r="BA30" s="16">
        <v>9876</v>
      </c>
      <c r="BB30" s="16">
        <v>1245</v>
      </c>
      <c r="BC30" s="92">
        <v>11001</v>
      </c>
      <c r="BD30" s="209" t="s">
        <v>275</v>
      </c>
      <c r="BE30" s="92">
        <v>11001</v>
      </c>
      <c r="BF30" s="209" t="s">
        <v>275</v>
      </c>
      <c r="BH30" s="101"/>
      <c r="BI30" s="102"/>
      <c r="BJ30" s="248">
        <f>VLOOKUP($BI$27,$BI$31:$BL$48,2)</f>
        <v>0.7</v>
      </c>
      <c r="BK30" s="248">
        <f>VLOOKUP($BI$27,$BI$31:$BL$48,3)</f>
        <v>1.1000000000000001</v>
      </c>
      <c r="BL30" s="248">
        <f>VLOOKUP($BI$27,$BI$31:$BL$48,4)</f>
        <v>1.5</v>
      </c>
      <c r="BM30" s="249" t="s">
        <v>27</v>
      </c>
    </row>
    <row r="31" spans="1:67" s="24" customFormat="1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6"/>
      <c r="L31" s="16"/>
      <c r="M31" s="16"/>
      <c r="N31" s="16"/>
      <c r="Q31" s="94" t="s">
        <v>23</v>
      </c>
      <c r="R31" s="98"/>
      <c r="S31" s="98"/>
      <c r="T31" s="98"/>
      <c r="U31" s="98"/>
      <c r="V31" s="99">
        <f>Z28*Y22</f>
        <v>0</v>
      </c>
      <c r="W31" s="242">
        <f>V31</f>
        <v>0</v>
      </c>
      <c r="X31" s="98"/>
      <c r="Y31" s="99" t="s">
        <v>26</v>
      </c>
      <c r="Z31" s="91">
        <f>T28</f>
        <v>0</v>
      </c>
      <c r="AA31" s="90" t="s">
        <v>27</v>
      </c>
      <c r="AB31" s="99">
        <f>AG4</f>
        <v>100</v>
      </c>
      <c r="AC31" s="97">
        <f>Z31/AB31</f>
        <v>0</v>
      </c>
      <c r="AD31" s="98"/>
      <c r="AE31" s="118"/>
      <c r="AF31" s="117"/>
      <c r="AQ31" s="92">
        <v>9521</v>
      </c>
      <c r="AR31" s="208">
        <v>1090</v>
      </c>
      <c r="AS31" s="24">
        <v>8420</v>
      </c>
      <c r="AT31" s="208">
        <v>920</v>
      </c>
      <c r="AU31" s="24">
        <v>9331</v>
      </c>
      <c r="AV31" s="24">
        <v>1280</v>
      </c>
      <c r="AW31" s="210">
        <v>11001</v>
      </c>
      <c r="AX31" s="211" t="s">
        <v>275</v>
      </c>
      <c r="AY31" s="210">
        <v>9731</v>
      </c>
      <c r="AZ31" s="208">
        <v>955</v>
      </c>
      <c r="BA31" s="24">
        <v>10831</v>
      </c>
      <c r="BB31" s="214" t="s">
        <v>275</v>
      </c>
      <c r="BC31" s="210">
        <v>15000</v>
      </c>
      <c r="BD31" s="208"/>
      <c r="BE31" s="210">
        <v>15000</v>
      </c>
      <c r="BF31" s="208"/>
      <c r="BI31" s="244" t="s">
        <v>327</v>
      </c>
      <c r="BJ31" s="250">
        <v>0.8</v>
      </c>
      <c r="BK31" s="250">
        <v>1.4</v>
      </c>
      <c r="BL31" s="251">
        <v>1.8</v>
      </c>
    </row>
    <row r="32" spans="1:67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Q32" s="92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Q32" s="210">
        <v>10271</v>
      </c>
      <c r="AR32" s="207">
        <v>1130</v>
      </c>
      <c r="AS32" s="16">
        <v>9076</v>
      </c>
      <c r="AT32" s="207">
        <v>960</v>
      </c>
      <c r="AU32" s="16">
        <v>10081</v>
      </c>
      <c r="AV32" s="16">
        <v>1320</v>
      </c>
      <c r="AW32" s="92">
        <v>15000</v>
      </c>
      <c r="AX32" s="207"/>
      <c r="AY32" s="92">
        <v>10541</v>
      </c>
      <c r="AZ32" s="209" t="s">
        <v>275</v>
      </c>
      <c r="BA32" s="16">
        <v>15000</v>
      </c>
      <c r="BC32" s="92"/>
      <c r="BD32" s="207"/>
      <c r="BE32" s="92"/>
      <c r="BF32" s="207"/>
      <c r="BI32" s="92" t="s">
        <v>330</v>
      </c>
      <c r="BJ32" s="90">
        <v>0.7</v>
      </c>
      <c r="BK32" s="90">
        <v>1.1000000000000001</v>
      </c>
      <c r="BL32" s="207">
        <v>1.5</v>
      </c>
    </row>
    <row r="33" spans="1:86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Q33" s="92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 t="s">
        <v>69</v>
      </c>
      <c r="AC33" s="100">
        <f>SUM(AC27:AC32)</f>
        <v>0</v>
      </c>
      <c r="AD33" s="90"/>
      <c r="AE33" s="117"/>
      <c r="AF33" s="117"/>
      <c r="AQ33" s="92">
        <v>11001</v>
      </c>
      <c r="AR33" s="209" t="s">
        <v>275</v>
      </c>
      <c r="AS33" s="16">
        <v>9741</v>
      </c>
      <c r="AT33" s="207">
        <v>1010</v>
      </c>
      <c r="AU33" s="16">
        <v>11001</v>
      </c>
      <c r="AV33" s="194" t="s">
        <v>275</v>
      </c>
      <c r="AW33" s="92"/>
      <c r="AX33" s="207"/>
      <c r="AY33" s="92">
        <v>15000</v>
      </c>
      <c r="AZ33" s="207"/>
      <c r="BC33" s="92"/>
      <c r="BD33" s="207"/>
      <c r="BE33" s="92"/>
      <c r="BF33" s="207"/>
      <c r="BI33" s="92" t="s">
        <v>328</v>
      </c>
      <c r="BJ33" s="90">
        <v>1.3</v>
      </c>
      <c r="BK33" s="90">
        <v>2</v>
      </c>
      <c r="BL33" s="207">
        <v>2.2999999999999998</v>
      </c>
    </row>
    <row r="34" spans="1:86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Q34" s="101"/>
      <c r="R34" s="102"/>
      <c r="S34" s="102"/>
      <c r="T34" s="102"/>
      <c r="U34" s="102" t="s">
        <v>69</v>
      </c>
      <c r="V34" s="103">
        <f>SUM(V26:V33)</f>
        <v>0</v>
      </c>
      <c r="W34" s="103">
        <f>SUM(W26:W33)</f>
        <v>0</v>
      </c>
      <c r="X34" s="102" t="s">
        <v>21</v>
      </c>
      <c r="Y34" s="102"/>
      <c r="Z34" s="102"/>
      <c r="AA34" s="102"/>
      <c r="AB34" s="102"/>
      <c r="AC34" s="102"/>
      <c r="AQ34" s="92">
        <v>15000</v>
      </c>
      <c r="AR34" s="207"/>
      <c r="AS34" s="16">
        <v>10391</v>
      </c>
      <c r="AT34" s="209" t="s">
        <v>275</v>
      </c>
      <c r="AU34" s="16">
        <v>15000</v>
      </c>
      <c r="AW34" s="92"/>
      <c r="AX34" s="207"/>
      <c r="AY34" s="92"/>
      <c r="AZ34" s="207"/>
      <c r="BI34" s="92" t="s">
        <v>331</v>
      </c>
      <c r="BJ34" s="90">
        <v>1</v>
      </c>
      <c r="BK34" s="90">
        <v>1.6</v>
      </c>
      <c r="BL34" s="207">
        <v>1.8</v>
      </c>
    </row>
    <row r="35" spans="1:86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AS35" s="16">
        <v>15000</v>
      </c>
      <c r="AT35" s="207"/>
      <c r="BI35" s="92" t="s">
        <v>329</v>
      </c>
      <c r="BJ35" s="90">
        <v>1.6</v>
      </c>
      <c r="BK35" s="90">
        <v>2.4</v>
      </c>
      <c r="BL35" s="207">
        <v>2.6</v>
      </c>
    </row>
    <row r="36" spans="1:86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BI36" s="92" t="s">
        <v>332</v>
      </c>
      <c r="BJ36" s="90">
        <v>1.4</v>
      </c>
      <c r="BK36" s="90">
        <v>2</v>
      </c>
      <c r="BL36" s="207">
        <v>2.2000000000000002</v>
      </c>
    </row>
    <row r="37" spans="1:86" ht="15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Q37" s="69" t="s">
        <v>87</v>
      </c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114"/>
      <c r="AF37" s="114"/>
      <c r="BI37" s="92" t="s">
        <v>333</v>
      </c>
      <c r="BJ37" s="90">
        <v>1.1000000000000001</v>
      </c>
      <c r="BK37" s="90">
        <v>1.7</v>
      </c>
      <c r="BL37" s="207">
        <v>2.1</v>
      </c>
    </row>
    <row r="38" spans="1:86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Q38" s="71" t="s">
        <v>66</v>
      </c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3" t="s">
        <v>72</v>
      </c>
      <c r="AC38" s="72"/>
      <c r="AD38" s="72"/>
      <c r="AE38" s="467"/>
      <c r="AF38" s="473"/>
      <c r="BI38" s="92" t="s">
        <v>337</v>
      </c>
      <c r="BJ38" s="90">
        <v>0.9</v>
      </c>
      <c r="BK38" s="90">
        <v>1.3</v>
      </c>
      <c r="BL38" s="207">
        <v>1.7</v>
      </c>
    </row>
    <row r="39" spans="1:86" ht="15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Q39" s="74"/>
      <c r="R39" s="72" t="s">
        <v>67</v>
      </c>
      <c r="S39" s="72" t="s">
        <v>68</v>
      </c>
      <c r="T39" s="72" t="s">
        <v>69</v>
      </c>
      <c r="U39" s="72"/>
      <c r="V39" s="72" t="s">
        <v>71</v>
      </c>
      <c r="W39" s="72"/>
      <c r="X39" s="72"/>
      <c r="Y39" s="75" t="s">
        <v>69</v>
      </c>
      <c r="Z39" s="72"/>
      <c r="AA39" s="72"/>
      <c r="AB39" s="73" t="s">
        <v>73</v>
      </c>
      <c r="AC39" s="72" t="s">
        <v>74</v>
      </c>
      <c r="AD39" s="72"/>
      <c r="AE39" s="114"/>
      <c r="AF39" s="114"/>
      <c r="BI39" s="92" t="s">
        <v>334</v>
      </c>
      <c r="BJ39" s="90">
        <v>1.5</v>
      </c>
      <c r="BK39" s="90">
        <v>2.1</v>
      </c>
      <c r="BL39" s="207">
        <v>2.5</v>
      </c>
    </row>
    <row r="40" spans="1:86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Q40" s="76" t="s">
        <v>24</v>
      </c>
      <c r="R40" s="73">
        <v>0</v>
      </c>
      <c r="S40" s="73">
        <v>0</v>
      </c>
      <c r="T40" s="73">
        <v>0</v>
      </c>
      <c r="U40" s="72" t="s">
        <v>27</v>
      </c>
      <c r="V40" s="77">
        <v>0</v>
      </c>
      <c r="W40" s="73">
        <v>0</v>
      </c>
      <c r="X40" s="72"/>
      <c r="Y40" s="73" t="s">
        <v>20</v>
      </c>
      <c r="Z40" s="78">
        <f>C43+T42/D22*1000+(C49+AM4*2)*C53+V48+AP4*2*S13+V41/D22*1000*2</f>
        <v>36.200000000000003</v>
      </c>
      <c r="AA40" s="72" t="s">
        <v>21</v>
      </c>
      <c r="AB40" s="73">
        <f>2*AB4</f>
        <v>5600</v>
      </c>
      <c r="AC40" s="72"/>
      <c r="AD40" s="72"/>
      <c r="AH40" s="66">
        <f>Z40*(D22/2+M50)/D22</f>
        <v>18.100000000000001</v>
      </c>
      <c r="AI40" s="66">
        <f>C43+T42/D22*1000+W48+AP4*2*S13+V41/D22*1000*2</f>
        <v>36</v>
      </c>
      <c r="BI40" s="92" t="s">
        <v>338</v>
      </c>
      <c r="BJ40" s="90">
        <v>1.1000000000000001</v>
      </c>
      <c r="BK40" s="90">
        <v>1.5</v>
      </c>
      <c r="BL40" s="207">
        <v>1.8</v>
      </c>
    </row>
    <row r="41" spans="1:86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Q41" s="76" t="s">
        <v>25</v>
      </c>
      <c r="R41" s="73">
        <f>C49*10*M49/1000</f>
        <v>0</v>
      </c>
      <c r="S41" s="73">
        <f>C49*C53*M51/1000</f>
        <v>0</v>
      </c>
      <c r="T41" s="73">
        <f>Y13*R41+S41+C47</f>
        <v>0</v>
      </c>
      <c r="U41" s="72" t="s">
        <v>27</v>
      </c>
      <c r="V41" s="77">
        <f>IF(AF18=1,AK13*T41,T41/U13*1000*Y22)</f>
        <v>0</v>
      </c>
      <c r="W41" s="73">
        <f>IF(AF18=1,AK13*(T41-S41),(T41-S41)/U13*1000*Y22)</f>
        <v>0</v>
      </c>
      <c r="X41" s="72"/>
      <c r="Y41" s="73" t="s">
        <v>22</v>
      </c>
      <c r="Z41" s="73">
        <f>C44</f>
        <v>0</v>
      </c>
      <c r="AA41" s="72" t="s">
        <v>21</v>
      </c>
      <c r="AB41" s="73">
        <f>AC4*1</f>
        <v>1400</v>
      </c>
      <c r="AC41" s="79">
        <f>Z41/AB41</f>
        <v>0</v>
      </c>
      <c r="AD41" s="72"/>
      <c r="BI41" s="92" t="s">
        <v>335</v>
      </c>
      <c r="BJ41" s="90">
        <v>1.8</v>
      </c>
      <c r="BK41" s="90">
        <v>2.2999999999999998</v>
      </c>
      <c r="BL41" s="207">
        <v>2.6</v>
      </c>
    </row>
    <row r="42" spans="1:86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Q42" s="76" t="s">
        <v>26</v>
      </c>
      <c r="R42" s="73">
        <v>0</v>
      </c>
      <c r="S42" s="73">
        <f>C49*C53*M50/1000</f>
        <v>0</v>
      </c>
      <c r="T42" s="73">
        <f>Y13*R42+S42+C48</f>
        <v>0</v>
      </c>
      <c r="U42" s="72" t="s">
        <v>27</v>
      </c>
      <c r="V42" s="77">
        <v>0</v>
      </c>
      <c r="W42" s="73">
        <v>0</v>
      </c>
      <c r="X42" s="72"/>
      <c r="Y42" s="73" t="s">
        <v>23</v>
      </c>
      <c r="Z42" s="73">
        <f>C45+C49*10*Y13+C46/D22*1000*2</f>
        <v>0</v>
      </c>
      <c r="AA42" s="72" t="s">
        <v>21</v>
      </c>
      <c r="AB42" s="73">
        <f>AD4*2</f>
        <v>2800</v>
      </c>
      <c r="AC42" s="79">
        <f>Z42/AB42</f>
        <v>0</v>
      </c>
      <c r="AD42" s="72"/>
      <c r="AE42" s="173"/>
      <c r="AJ42" s="172"/>
      <c r="BI42" s="92" t="s">
        <v>339</v>
      </c>
      <c r="BJ42" s="90">
        <v>1.3</v>
      </c>
      <c r="BK42" s="90">
        <v>1.8</v>
      </c>
      <c r="BL42" s="207">
        <v>2</v>
      </c>
    </row>
    <row r="43" spans="1:86" ht="15.75" thickBot="1" x14ac:dyDescent="0.3">
      <c r="A43" s="17"/>
      <c r="B43" s="293" t="s">
        <v>20</v>
      </c>
      <c r="C43" s="40">
        <v>0</v>
      </c>
      <c r="D43" s="17" t="s">
        <v>21</v>
      </c>
      <c r="E43" s="49" t="str">
        <f>IF(C43&gt;$AB$4*$Q$18,"Too much"," ")</f>
        <v xml:space="preserve"> </v>
      </c>
      <c r="F43" s="17"/>
      <c r="G43" s="17"/>
      <c r="H43" s="373" t="str">
        <f>IF(T18=2," ","Orientation of carriage")</f>
        <v>Orientation of carriage</v>
      </c>
      <c r="I43" s="17"/>
      <c r="J43" s="17"/>
      <c r="Q43" s="76"/>
      <c r="R43" s="72"/>
      <c r="S43" s="72"/>
      <c r="T43" s="72"/>
      <c r="U43" s="72"/>
      <c r="V43" s="72"/>
      <c r="W43" s="73"/>
      <c r="X43" s="72"/>
      <c r="Y43" s="73" t="s">
        <v>24</v>
      </c>
      <c r="Z43" s="73">
        <f>T40</f>
        <v>0</v>
      </c>
      <c r="AA43" s="72" t="s">
        <v>27</v>
      </c>
      <c r="AB43" s="73"/>
      <c r="AC43" s="79"/>
      <c r="AE43" s="119" t="s">
        <v>84</v>
      </c>
      <c r="BI43" s="92" t="s">
        <v>336</v>
      </c>
      <c r="BJ43" s="90">
        <v>2.2999999999999998</v>
      </c>
      <c r="BK43" s="90">
        <v>3</v>
      </c>
      <c r="BL43" s="207">
        <v>3.6</v>
      </c>
    </row>
    <row r="44" spans="1:86" ht="15" x14ac:dyDescent="0.25">
      <c r="A44" s="17"/>
      <c r="B44" s="293" t="s">
        <v>22</v>
      </c>
      <c r="C44" s="40">
        <v>0</v>
      </c>
      <c r="D44" s="17" t="s">
        <v>21</v>
      </c>
      <c r="E44" s="49" t="str">
        <f>IF(C44&gt;AC4*$Q$18,"Too much"," ")</f>
        <v xml:space="preserve"> </v>
      </c>
      <c r="F44" s="17"/>
      <c r="G44" s="17"/>
      <c r="H44" s="17"/>
      <c r="I44" s="17"/>
      <c r="J44" s="17"/>
      <c r="Q44" s="76" t="s">
        <v>22</v>
      </c>
      <c r="R44" s="72"/>
      <c r="S44" s="72"/>
      <c r="T44" s="72"/>
      <c r="U44" s="72"/>
      <c r="V44" s="73">
        <f>C44*Y22</f>
        <v>0</v>
      </c>
      <c r="W44" s="73">
        <f>V44</f>
        <v>0</v>
      </c>
      <c r="X44" s="72"/>
      <c r="Y44" s="73" t="s">
        <v>25</v>
      </c>
      <c r="Z44" s="73">
        <f>T41</f>
        <v>0</v>
      </c>
      <c r="AA44" s="72" t="s">
        <v>27</v>
      </c>
      <c r="AB44" s="73">
        <f>AF4*2</f>
        <v>200</v>
      </c>
      <c r="AC44" s="79">
        <f>Z44/AB44</f>
        <v>0</v>
      </c>
      <c r="AD44" s="72"/>
      <c r="AE44" s="126"/>
      <c r="AH44" s="50"/>
      <c r="BI44" s="92" t="s">
        <v>340</v>
      </c>
      <c r="BJ44" s="90">
        <v>2</v>
      </c>
      <c r="BK44" s="90">
        <v>2.4</v>
      </c>
      <c r="BL44" s="207">
        <v>2.9</v>
      </c>
      <c r="CB44" s="259"/>
      <c r="CC44" s="260"/>
      <c r="CD44" s="260"/>
      <c r="CE44" s="260"/>
      <c r="CF44" s="260"/>
      <c r="CG44" s="260"/>
      <c r="CH44" s="261"/>
    </row>
    <row r="45" spans="1:86" ht="15" x14ac:dyDescent="0.25">
      <c r="A45" s="17"/>
      <c r="B45" s="293" t="s">
        <v>23</v>
      </c>
      <c r="C45" s="40">
        <v>0</v>
      </c>
      <c r="D45" s="17" t="s">
        <v>21</v>
      </c>
      <c r="E45" s="49" t="str">
        <f>IF(C45&gt;AD4*$Q$18,"Too much"," ")</f>
        <v xml:space="preserve"> </v>
      </c>
      <c r="F45" s="17"/>
      <c r="G45" s="17"/>
      <c r="H45" s="17"/>
      <c r="I45" s="17"/>
      <c r="J45" s="17"/>
      <c r="Q45" s="76" t="s">
        <v>23</v>
      </c>
      <c r="R45" s="80"/>
      <c r="S45" s="80"/>
      <c r="T45" s="80"/>
      <c r="U45" s="80"/>
      <c r="V45" s="81">
        <f>(C49*10*Y13+C45)*Y22</f>
        <v>0</v>
      </c>
      <c r="W45" s="73">
        <f>V45</f>
        <v>0</v>
      </c>
      <c r="X45" s="80"/>
      <c r="Y45" s="82" t="s">
        <v>26</v>
      </c>
      <c r="Z45" s="73">
        <f>T42</f>
        <v>0</v>
      </c>
      <c r="AA45" s="72" t="s">
        <v>27</v>
      </c>
      <c r="AB45" s="82"/>
      <c r="AC45" s="79"/>
      <c r="AE45" s="119" t="s">
        <v>83</v>
      </c>
      <c r="BI45" s="92" t="s">
        <v>341</v>
      </c>
      <c r="BJ45" s="90">
        <v>1.4</v>
      </c>
      <c r="BK45" s="90">
        <v>2.5</v>
      </c>
      <c r="BL45" s="207">
        <v>3</v>
      </c>
      <c r="CB45" s="262" t="s">
        <v>372</v>
      </c>
      <c r="CC45" s="263"/>
      <c r="CD45" s="263"/>
      <c r="CE45" s="263"/>
      <c r="CF45" s="263"/>
      <c r="CG45" s="263"/>
      <c r="CH45" s="264"/>
    </row>
    <row r="46" spans="1:86" ht="15" x14ac:dyDescent="0.25">
      <c r="A46" s="17"/>
      <c r="B46" s="293" t="s">
        <v>24</v>
      </c>
      <c r="C46" s="40">
        <v>0</v>
      </c>
      <c r="D46" s="17" t="s">
        <v>27</v>
      </c>
      <c r="E46" s="49" t="str">
        <f>IF(Q18=2," ",IF(C46&gt;AE4,"Too much"," "))</f>
        <v xml:space="preserve"> </v>
      </c>
      <c r="F46" s="17"/>
      <c r="G46" s="17"/>
      <c r="H46" s="17"/>
      <c r="I46" s="17"/>
      <c r="J46" s="17"/>
      <c r="Q46" s="74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BI46" s="92" t="s">
        <v>342</v>
      </c>
      <c r="BJ46" s="90">
        <v>2</v>
      </c>
      <c r="BK46" s="90">
        <v>3</v>
      </c>
      <c r="BL46" s="207">
        <v>3.7</v>
      </c>
      <c r="CB46" s="265" t="s">
        <v>373</v>
      </c>
      <c r="CC46" s="263"/>
      <c r="CD46" s="263"/>
      <c r="CE46" s="263"/>
      <c r="CF46" s="263"/>
      <c r="CG46" s="263"/>
      <c r="CH46" s="264"/>
    </row>
    <row r="47" spans="1:86" ht="15" x14ac:dyDescent="0.25">
      <c r="A47" s="17"/>
      <c r="B47" s="293" t="s">
        <v>25</v>
      </c>
      <c r="C47" s="40">
        <v>0</v>
      </c>
      <c r="D47" s="17" t="s">
        <v>27</v>
      </c>
      <c r="E47" s="49" t="str">
        <f>IF(C47&gt;AF4*$Q$18,"Too much"," ")</f>
        <v xml:space="preserve"> </v>
      </c>
      <c r="F47" s="17"/>
      <c r="G47" s="17"/>
      <c r="H47" s="17"/>
      <c r="I47" s="17"/>
      <c r="J47" s="17"/>
      <c r="Q47" s="74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 t="s">
        <v>69</v>
      </c>
      <c r="AC47" s="83">
        <f>SUM(AC41:AC46)</f>
        <v>0</v>
      </c>
      <c r="AD47" s="72"/>
      <c r="AE47" s="117"/>
      <c r="BI47" s="92" t="s">
        <v>343</v>
      </c>
      <c r="BJ47" s="90">
        <v>2.2999999999999998</v>
      </c>
      <c r="BK47" s="90">
        <v>3.3</v>
      </c>
      <c r="BL47" s="207">
        <v>4</v>
      </c>
      <c r="CB47" s="265" t="s">
        <v>374</v>
      </c>
      <c r="CC47" s="263"/>
      <c r="CD47" s="263"/>
      <c r="CE47" s="263"/>
      <c r="CF47" s="263"/>
      <c r="CG47" s="263"/>
      <c r="CH47" s="264"/>
    </row>
    <row r="48" spans="1:86" ht="15.75" thickBot="1" x14ac:dyDescent="0.3">
      <c r="A48" s="17"/>
      <c r="B48" s="293" t="s">
        <v>26</v>
      </c>
      <c r="C48" s="40">
        <v>0</v>
      </c>
      <c r="D48" s="17" t="s">
        <v>27</v>
      </c>
      <c r="E48" s="49" t="str">
        <f>IF(Q18=2," ",IF(C48&gt;$AG$4,"Too much"," "))</f>
        <v xml:space="preserve"> </v>
      </c>
      <c r="F48" s="17"/>
      <c r="G48" s="17"/>
      <c r="H48" s="17"/>
      <c r="I48" s="17"/>
      <c r="J48" s="17"/>
      <c r="M48" s="175" t="s">
        <v>226</v>
      </c>
      <c r="Q48" s="84"/>
      <c r="R48" s="85"/>
      <c r="S48" s="85"/>
      <c r="T48" s="85"/>
      <c r="U48" s="85" t="s">
        <v>69</v>
      </c>
      <c r="V48" s="86">
        <f>SUM(V40:V47)</f>
        <v>0</v>
      </c>
      <c r="W48" s="86">
        <f>SUM(W40:W47)</f>
        <v>0</v>
      </c>
      <c r="X48" s="85" t="s">
        <v>21</v>
      </c>
      <c r="Y48" s="85"/>
      <c r="Z48" s="85"/>
      <c r="AA48" s="85"/>
      <c r="AB48" s="85"/>
      <c r="AC48" s="85"/>
      <c r="BI48" s="101" t="s">
        <v>344</v>
      </c>
      <c r="BJ48" s="102">
        <v>2.4</v>
      </c>
      <c r="BK48" s="102">
        <v>3.8</v>
      </c>
      <c r="BL48" s="249">
        <v>4.3</v>
      </c>
      <c r="CB48" s="266"/>
      <c r="CC48" s="267"/>
      <c r="CD48" s="267"/>
      <c r="CE48" s="267"/>
      <c r="CF48" s="267"/>
      <c r="CG48" s="267"/>
      <c r="CH48" s="268"/>
    </row>
    <row r="49" spans="1:35" x14ac:dyDescent="0.2">
      <c r="A49" s="17"/>
      <c r="B49" s="23" t="s">
        <v>28</v>
      </c>
      <c r="C49" s="40">
        <v>0</v>
      </c>
      <c r="D49" s="17" t="s">
        <v>370</v>
      </c>
      <c r="E49" s="17"/>
      <c r="F49" s="17"/>
      <c r="G49" s="17"/>
      <c r="H49" s="293" t="s">
        <v>29</v>
      </c>
      <c r="I49" s="40">
        <v>0</v>
      </c>
      <c r="J49" s="17" t="s">
        <v>10</v>
      </c>
      <c r="M49" s="178">
        <f>ABS(I49)</f>
        <v>0</v>
      </c>
      <c r="O49" s="68"/>
      <c r="P49" s="68"/>
    </row>
    <row r="50" spans="1:35" ht="15" x14ac:dyDescent="0.25">
      <c r="A50" s="17" t="s">
        <v>75</v>
      </c>
      <c r="B50" s="17"/>
      <c r="C50" s="17"/>
      <c r="D50" s="17"/>
      <c r="E50" s="17"/>
      <c r="F50" s="17"/>
      <c r="G50" s="17"/>
      <c r="H50" s="293" t="s">
        <v>30</v>
      </c>
      <c r="I50" s="40">
        <v>0</v>
      </c>
      <c r="J50" s="17" t="s">
        <v>10</v>
      </c>
      <c r="M50" s="178">
        <f t="shared" ref="M50:M51" si="2">ABS(I50)</f>
        <v>0</v>
      </c>
      <c r="O50" s="68"/>
      <c r="P50" s="68"/>
      <c r="Q50" s="87" t="s">
        <v>85</v>
      </c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114"/>
      <c r="AF50" s="114"/>
    </row>
    <row r="51" spans="1:35" x14ac:dyDescent="0.2">
      <c r="A51" s="17"/>
      <c r="B51" s="17"/>
      <c r="C51" s="17"/>
      <c r="D51" s="17"/>
      <c r="E51" s="17"/>
      <c r="F51" s="17"/>
      <c r="G51" s="17"/>
      <c r="H51" s="293" t="s">
        <v>31</v>
      </c>
      <c r="I51" s="40">
        <v>0</v>
      </c>
      <c r="J51" s="17" t="s">
        <v>10</v>
      </c>
      <c r="M51" s="178">
        <f t="shared" si="2"/>
        <v>0</v>
      </c>
      <c r="O51" s="68"/>
      <c r="P51" s="68"/>
      <c r="Q51" s="89" t="s">
        <v>66</v>
      </c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 t="s">
        <v>72</v>
      </c>
      <c r="AC51" s="90"/>
      <c r="AD51" s="90"/>
      <c r="AE51" s="467"/>
      <c r="AF51" s="473"/>
    </row>
    <row r="52" spans="1:35" ht="15" x14ac:dyDescent="0.25">
      <c r="A52" s="17"/>
      <c r="B52" s="23" t="s">
        <v>32</v>
      </c>
      <c r="C52" s="40">
        <v>0.2</v>
      </c>
      <c r="D52" s="17" t="s">
        <v>34</v>
      </c>
      <c r="E52" s="49" t="str">
        <f>IF(C52&gt;AJ4,"Too high speed"," ")</f>
        <v xml:space="preserve"> </v>
      </c>
      <c r="F52" s="17"/>
      <c r="G52" s="49" t="str">
        <f>IF(R112&gt;3001,"Too high rpm "," ")</f>
        <v xml:space="preserve"> </v>
      </c>
      <c r="H52" s="17"/>
      <c r="I52" s="17"/>
      <c r="J52" s="17"/>
      <c r="O52" s="68"/>
      <c r="P52" s="68"/>
      <c r="Q52" s="92"/>
      <c r="R52" s="90" t="s">
        <v>67</v>
      </c>
      <c r="S52" s="90" t="s">
        <v>68</v>
      </c>
      <c r="T52" s="90" t="s">
        <v>69</v>
      </c>
      <c r="U52" s="90"/>
      <c r="V52" s="90" t="s">
        <v>71</v>
      </c>
      <c r="W52" s="90"/>
      <c r="X52" s="90"/>
      <c r="Y52" s="93" t="s">
        <v>69</v>
      </c>
      <c r="Z52" s="90"/>
      <c r="AA52" s="90"/>
      <c r="AB52" s="91" t="s">
        <v>73</v>
      </c>
      <c r="AC52" s="90" t="s">
        <v>74</v>
      </c>
      <c r="AD52" s="90"/>
      <c r="AE52" s="114"/>
      <c r="AF52" s="114"/>
    </row>
    <row r="53" spans="1:35" ht="15" x14ac:dyDescent="0.25">
      <c r="A53" s="17"/>
      <c r="B53" s="23" t="s">
        <v>33</v>
      </c>
      <c r="C53" s="40">
        <v>0.1</v>
      </c>
      <c r="D53" s="17" t="s">
        <v>35</v>
      </c>
      <c r="E53" s="49" t="str">
        <f>IF(C53&gt;AK4,"Too high acceleration"," ")</f>
        <v xml:space="preserve"> </v>
      </c>
      <c r="F53" s="17"/>
      <c r="G53" s="17"/>
      <c r="H53" s="17"/>
      <c r="I53" s="17"/>
      <c r="J53" s="17"/>
      <c r="O53" s="68"/>
      <c r="P53" s="68"/>
      <c r="Q53" s="94" t="s">
        <v>24</v>
      </c>
      <c r="R53" s="91">
        <f>C49*10*M51/1000</f>
        <v>0</v>
      </c>
      <c r="S53" s="91">
        <v>0</v>
      </c>
      <c r="T53" s="91">
        <f>Y13*R53+C46</f>
        <v>0</v>
      </c>
      <c r="U53" s="90" t="s">
        <v>27</v>
      </c>
      <c r="V53" s="95">
        <f>T53/AR4*1000*Y22</f>
        <v>0</v>
      </c>
      <c r="W53" s="95">
        <f>V53</f>
        <v>0</v>
      </c>
      <c r="X53" s="90"/>
      <c r="Y53" s="91" t="s">
        <v>20</v>
      </c>
      <c r="Z53" s="96">
        <f>C43+(C49+AM4)*C53+AP4*S13+V61</f>
        <v>18.100000000000001</v>
      </c>
      <c r="AA53" s="90" t="s">
        <v>21</v>
      </c>
      <c r="AB53" s="91">
        <f>AB4</f>
        <v>2800</v>
      </c>
      <c r="AC53" s="90"/>
      <c r="AD53" s="90"/>
      <c r="AF53" s="117"/>
      <c r="AH53" s="66">
        <f>Z53</f>
        <v>18.100000000000001</v>
      </c>
      <c r="AI53" s="66">
        <f>C43+AP4*S13+W61</f>
        <v>18</v>
      </c>
    </row>
    <row r="54" spans="1:35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O54" s="68"/>
      <c r="P54" s="68"/>
      <c r="Q54" s="94" t="s">
        <v>25</v>
      </c>
      <c r="R54" s="91">
        <v>0</v>
      </c>
      <c r="S54" s="91">
        <f>C49*C53*M51/1000</f>
        <v>0</v>
      </c>
      <c r="T54" s="91">
        <f>S54+C47</f>
        <v>0</v>
      </c>
      <c r="U54" s="90" t="s">
        <v>27</v>
      </c>
      <c r="V54" s="95">
        <f>IF(AF18=1,AK13*T54,T54/U13*1000*Y22)</f>
        <v>0</v>
      </c>
      <c r="W54" s="95">
        <f>IF(AF18=1,AK13*(T54-S54),(T54-S54)/U13*1000*Y22)</f>
        <v>0</v>
      </c>
      <c r="X54" s="90"/>
      <c r="Y54" s="91" t="s">
        <v>22</v>
      </c>
      <c r="Z54" s="91">
        <f>C44+Y13*C49*10</f>
        <v>0</v>
      </c>
      <c r="AA54" s="90" t="s">
        <v>21</v>
      </c>
      <c r="AB54" s="91">
        <f>AC4</f>
        <v>1400</v>
      </c>
      <c r="AC54" s="97">
        <f>Z54/AB54</f>
        <v>0</v>
      </c>
      <c r="AD54" s="90"/>
      <c r="AF54" s="117"/>
    </row>
    <row r="55" spans="1:35" ht="15" x14ac:dyDescent="0.25">
      <c r="A55" s="17" t="s">
        <v>49</v>
      </c>
      <c r="B55" s="17"/>
      <c r="C55" s="40">
        <v>2000</v>
      </c>
      <c r="D55" s="17" t="s">
        <v>50</v>
      </c>
      <c r="E55" s="17"/>
      <c r="F55" s="49" t="str">
        <f>IF(C55&gt;C19,"This is longer than stroke of unit !"," ")</f>
        <v xml:space="preserve"> </v>
      </c>
      <c r="G55" s="17"/>
      <c r="H55" s="17"/>
      <c r="I55" s="17"/>
      <c r="J55" s="17"/>
      <c r="O55" s="68"/>
      <c r="P55" s="68"/>
      <c r="Q55" s="94" t="s">
        <v>26</v>
      </c>
      <c r="R55" s="91">
        <f>C49*10*M49/1000</f>
        <v>0</v>
      </c>
      <c r="S55" s="91">
        <f>C49*C53*M50/1000</f>
        <v>0</v>
      </c>
      <c r="T55" s="91">
        <f>Y13*R55+S55+C48</f>
        <v>0</v>
      </c>
      <c r="U55" s="90" t="s">
        <v>27</v>
      </c>
      <c r="V55" s="95">
        <f>IF(AF18=1,AK13*T55,T55/AQ4*1000*Y22)</f>
        <v>0</v>
      </c>
      <c r="W55" s="95">
        <f>IF(AF18=1,AK13*(T55-S55),(T55-S55)/AQ4*1000*Y22)</f>
        <v>0</v>
      </c>
      <c r="X55" s="90"/>
      <c r="Y55" s="91" t="s">
        <v>23</v>
      </c>
      <c r="Z55" s="91">
        <f>C45</f>
        <v>0</v>
      </c>
      <c r="AA55" s="90" t="s">
        <v>21</v>
      </c>
      <c r="AB55" s="91">
        <f>AD4</f>
        <v>1400</v>
      </c>
      <c r="AC55" s="97">
        <f>Z55/AB55</f>
        <v>0</v>
      </c>
      <c r="AD55" s="90"/>
      <c r="AE55" s="117"/>
      <c r="AF55" s="117"/>
    </row>
    <row r="56" spans="1:35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O56" s="68"/>
      <c r="P56" s="68"/>
      <c r="Q56" s="94"/>
      <c r="R56" s="90"/>
      <c r="S56" s="90"/>
      <c r="T56" s="90"/>
      <c r="U56" s="90"/>
      <c r="V56" s="90"/>
      <c r="W56" s="90"/>
      <c r="X56" s="90"/>
      <c r="Y56" s="91" t="s">
        <v>24</v>
      </c>
      <c r="Z56" s="91">
        <f>T53</f>
        <v>0</v>
      </c>
      <c r="AA56" s="90" t="s">
        <v>27</v>
      </c>
      <c r="AB56" s="91">
        <f>AE4</f>
        <v>50</v>
      </c>
      <c r="AC56" s="97">
        <f>Z56/AB56</f>
        <v>0</v>
      </c>
      <c r="AD56" s="90"/>
      <c r="AE56" s="117"/>
      <c r="AF56" s="117"/>
    </row>
    <row r="57" spans="1:35" x14ac:dyDescent="0.2">
      <c r="A57" s="17" t="s">
        <v>51</v>
      </c>
      <c r="B57" s="17"/>
      <c r="C57" s="17"/>
      <c r="D57" s="17"/>
      <c r="E57" s="17"/>
      <c r="F57" s="17"/>
      <c r="G57" s="17"/>
      <c r="H57" s="17"/>
      <c r="I57" s="17"/>
      <c r="J57" s="17"/>
      <c r="O57" s="68"/>
      <c r="P57" s="68"/>
      <c r="Q57" s="94" t="s">
        <v>22</v>
      </c>
      <c r="R57" s="90"/>
      <c r="S57" s="90"/>
      <c r="T57" s="90"/>
      <c r="U57" s="90"/>
      <c r="V57" s="91">
        <f>Z54*Y22</f>
        <v>0</v>
      </c>
      <c r="W57" s="242">
        <f>V57</f>
        <v>0</v>
      </c>
      <c r="X57" s="90"/>
      <c r="Y57" s="91" t="s">
        <v>25</v>
      </c>
      <c r="Z57" s="91">
        <f>T54</f>
        <v>0</v>
      </c>
      <c r="AA57" s="90" t="s">
        <v>27</v>
      </c>
      <c r="AB57" s="91">
        <f>AF4</f>
        <v>100</v>
      </c>
      <c r="AC57" s="97">
        <f>Z57/AB57</f>
        <v>0</v>
      </c>
      <c r="AD57" s="90"/>
      <c r="AE57" s="117"/>
      <c r="AF57" s="117"/>
    </row>
    <row r="58" spans="1:35" ht="15" x14ac:dyDescent="0.25">
      <c r="A58" s="17"/>
      <c r="B58" s="17"/>
      <c r="C58" s="65">
        <f>Blad2!C14</f>
        <v>12</v>
      </c>
      <c r="D58" s="17" t="s">
        <v>52</v>
      </c>
      <c r="E58" s="17"/>
      <c r="F58" s="17"/>
      <c r="G58" s="17"/>
      <c r="H58" s="17"/>
      <c r="I58" s="17"/>
      <c r="J58" s="17"/>
      <c r="O58" s="68"/>
      <c r="P58" s="68"/>
      <c r="Q58" s="94" t="s">
        <v>23</v>
      </c>
      <c r="R58" s="98"/>
      <c r="S58" s="98"/>
      <c r="T58" s="98"/>
      <c r="U58" s="98"/>
      <c r="V58" s="99">
        <f>C45*Y22</f>
        <v>0</v>
      </c>
      <c r="W58" s="242">
        <f>V58</f>
        <v>0</v>
      </c>
      <c r="X58" s="98"/>
      <c r="Y58" s="99" t="s">
        <v>26</v>
      </c>
      <c r="Z58" s="91">
        <f>T55</f>
        <v>0</v>
      </c>
      <c r="AA58" s="90" t="s">
        <v>27</v>
      </c>
      <c r="AB58" s="99">
        <f>AG4</f>
        <v>100</v>
      </c>
      <c r="AC58" s="97">
        <f>Z58/AB58</f>
        <v>0</v>
      </c>
      <c r="AD58" s="98"/>
      <c r="AF58" s="117"/>
    </row>
    <row r="59" spans="1:35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O59" s="68"/>
      <c r="P59" s="68"/>
      <c r="Q59" s="92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</row>
    <row r="60" spans="1:35" ht="15" x14ac:dyDescent="0.25">
      <c r="A60" s="49" t="str">
        <f>Blad2!A17</f>
        <v xml:space="preserve"> </v>
      </c>
      <c r="B60" s="49"/>
      <c r="C60" s="49"/>
      <c r="D60" s="49"/>
      <c r="E60" s="17"/>
      <c r="F60" s="17"/>
      <c r="G60" s="17"/>
      <c r="H60" s="17"/>
      <c r="I60" s="17"/>
      <c r="J60" s="17"/>
      <c r="O60" s="68"/>
      <c r="P60" s="68"/>
      <c r="Q60" s="92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 t="s">
        <v>69</v>
      </c>
      <c r="AC60" s="100">
        <f>SUM(AC54:AC59)</f>
        <v>0</v>
      </c>
      <c r="AD60" s="90"/>
      <c r="AE60" s="117"/>
      <c r="AF60" s="117"/>
    </row>
    <row r="61" spans="1:35" ht="15" x14ac:dyDescent="0.25">
      <c r="A61" s="49" t="str">
        <f>Blad2!A18</f>
        <v xml:space="preserve"> </v>
      </c>
      <c r="B61" s="49"/>
      <c r="C61" s="401" t="str">
        <f>Blad2!C18</f>
        <v xml:space="preserve"> </v>
      </c>
      <c r="D61" s="402" t="str">
        <f>Blad2!D18</f>
        <v xml:space="preserve"> </v>
      </c>
      <c r="E61" s="17"/>
      <c r="F61" s="17"/>
      <c r="G61" s="17"/>
      <c r="H61" s="17"/>
      <c r="I61" s="17"/>
      <c r="J61" s="17"/>
      <c r="O61" s="68"/>
      <c r="P61" s="68"/>
      <c r="Q61" s="101"/>
      <c r="R61" s="102"/>
      <c r="S61" s="102"/>
      <c r="T61" s="102"/>
      <c r="U61" s="102" t="s">
        <v>69</v>
      </c>
      <c r="V61" s="103">
        <f>SUM(V53:V60)</f>
        <v>0</v>
      </c>
      <c r="W61" s="103">
        <f>SUM(W53:W60)</f>
        <v>0</v>
      </c>
      <c r="X61" s="102" t="s">
        <v>21</v>
      </c>
      <c r="Y61" s="102"/>
      <c r="Z61" s="102"/>
      <c r="AA61" s="102"/>
      <c r="AB61" s="102"/>
      <c r="AC61" s="102"/>
    </row>
    <row r="62" spans="1:35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O62" s="68"/>
      <c r="P62" s="68"/>
    </row>
    <row r="63" spans="1:35" ht="15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O63" s="68"/>
      <c r="P63" s="68"/>
      <c r="Q63" s="87" t="s">
        <v>86</v>
      </c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114"/>
      <c r="AF63" s="114"/>
      <c r="AH63" s="133"/>
      <c r="AI63" s="68"/>
    </row>
    <row r="64" spans="1:35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P64" s="68"/>
      <c r="Q64" s="89" t="s">
        <v>66</v>
      </c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1" t="s">
        <v>72</v>
      </c>
      <c r="AC64" s="90"/>
      <c r="AD64" s="90"/>
      <c r="AE64" s="467"/>
      <c r="AF64" s="473"/>
      <c r="AH64" s="68"/>
      <c r="AI64" s="68"/>
    </row>
    <row r="65" spans="1:35" ht="15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P65" s="68"/>
      <c r="Q65" s="92"/>
      <c r="R65" s="90" t="s">
        <v>67</v>
      </c>
      <c r="S65" s="90" t="s">
        <v>68</v>
      </c>
      <c r="T65" s="90" t="s">
        <v>69</v>
      </c>
      <c r="U65" s="90"/>
      <c r="V65" s="90" t="s">
        <v>71</v>
      </c>
      <c r="W65" s="90"/>
      <c r="X65" s="90"/>
      <c r="Y65" s="93" t="s">
        <v>69</v>
      </c>
      <c r="Z65" s="90"/>
      <c r="AA65" s="90"/>
      <c r="AB65" s="91" t="s">
        <v>73</v>
      </c>
      <c r="AC65" s="90" t="s">
        <v>74</v>
      </c>
      <c r="AD65" s="90"/>
      <c r="AE65" s="114"/>
      <c r="AF65" s="114"/>
    </row>
    <row r="66" spans="1:35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P66" s="68"/>
      <c r="Q66" s="94" t="s">
        <v>24</v>
      </c>
      <c r="R66" s="91">
        <v>0</v>
      </c>
      <c r="S66" s="91">
        <v>0</v>
      </c>
      <c r="T66" s="91">
        <v>0</v>
      </c>
      <c r="U66" s="90" t="s">
        <v>27</v>
      </c>
      <c r="V66" s="95">
        <v>0</v>
      </c>
      <c r="W66" s="242">
        <v>0</v>
      </c>
      <c r="X66" s="90"/>
      <c r="Y66" s="91" t="s">
        <v>20</v>
      </c>
      <c r="Z66" s="96">
        <f>C43+V74+T68/D22*1000+(C49+AM4*2*S13)*C53</f>
        <v>0.2</v>
      </c>
      <c r="AA66" s="90" t="s">
        <v>21</v>
      </c>
      <c r="AB66" s="91">
        <f>AB4*2</f>
        <v>5600</v>
      </c>
      <c r="AC66" s="90"/>
      <c r="AD66" s="90"/>
      <c r="AH66" s="132">
        <f>Z66*(D22/2+M50)/D22</f>
        <v>0.1</v>
      </c>
      <c r="AI66" s="66">
        <f>C43+V75</f>
        <v>0</v>
      </c>
    </row>
    <row r="67" spans="1:35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P67" s="68"/>
      <c r="Q67" s="94" t="s">
        <v>25</v>
      </c>
      <c r="R67" s="91">
        <v>0</v>
      </c>
      <c r="S67" s="91">
        <f>C49*C53*M51/1000</f>
        <v>0</v>
      </c>
      <c r="T67" s="91">
        <f>C47+S67</f>
        <v>0</v>
      </c>
      <c r="U67" s="90" t="s">
        <v>27</v>
      </c>
      <c r="V67" s="95">
        <f>IF(AF18=1,AK13*T67,T67/U13*1000*Y22)</f>
        <v>0</v>
      </c>
      <c r="W67" s="242">
        <f>IF(AF18=1,AK13*(T67-S67),(T67-S67)/U13*1000*Y22)</f>
        <v>0</v>
      </c>
      <c r="X67" s="90"/>
      <c r="Y67" s="91" t="s">
        <v>22</v>
      </c>
      <c r="Z67" s="91">
        <f>C44+C49*10*Y13</f>
        <v>0</v>
      </c>
      <c r="AA67" s="90" t="s">
        <v>21</v>
      </c>
      <c r="AB67" s="91">
        <f>AC4</f>
        <v>1400</v>
      </c>
      <c r="AC67" s="97">
        <f>Z67/AB67</f>
        <v>0</v>
      </c>
      <c r="AD67" s="90"/>
      <c r="AF67" s="104"/>
    </row>
    <row r="68" spans="1:35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P68" s="68"/>
      <c r="Q68" s="94" t="s">
        <v>26</v>
      </c>
      <c r="R68" s="91">
        <f>C49*10*M49/1000</f>
        <v>0</v>
      </c>
      <c r="S68" s="91">
        <f>C49*C53*M50/1000</f>
        <v>0</v>
      </c>
      <c r="T68" s="91">
        <f>Y13*R68+S68+C48</f>
        <v>0</v>
      </c>
      <c r="U68" s="90" t="s">
        <v>27</v>
      </c>
      <c r="V68" s="95">
        <v>0</v>
      </c>
      <c r="W68" s="242">
        <v>0</v>
      </c>
      <c r="X68" s="90"/>
      <c r="Y68" s="91" t="s">
        <v>23</v>
      </c>
      <c r="Z68" s="96">
        <f>C45+Y13*C49*10*M51/1000/D22*1000+C46/D22*1000</f>
        <v>0</v>
      </c>
      <c r="AA68" s="90" t="s">
        <v>21</v>
      </c>
      <c r="AB68" s="91">
        <f>AD4*2</f>
        <v>2800</v>
      </c>
      <c r="AC68" s="97">
        <f>Z68/AB68</f>
        <v>0</v>
      </c>
      <c r="AD68" s="90"/>
      <c r="AE68" s="117"/>
    </row>
    <row r="69" spans="1:35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M69" s="90"/>
      <c r="P69" s="68"/>
      <c r="Q69" s="94"/>
      <c r="R69" s="90"/>
      <c r="S69" s="90"/>
      <c r="T69" s="90"/>
      <c r="U69" s="90"/>
      <c r="V69" s="90"/>
      <c r="W69" s="242"/>
      <c r="X69" s="90"/>
      <c r="Y69" s="91" t="s">
        <v>24</v>
      </c>
      <c r="Z69" s="91">
        <v>0</v>
      </c>
      <c r="AA69" s="90" t="s">
        <v>27</v>
      </c>
      <c r="AB69" s="91"/>
      <c r="AC69" s="97"/>
      <c r="AD69" s="120" t="s">
        <v>84</v>
      </c>
    </row>
    <row r="70" spans="1:35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P70" s="68"/>
      <c r="Q70" s="94" t="s">
        <v>22</v>
      </c>
      <c r="R70" s="90"/>
      <c r="S70" s="90"/>
      <c r="T70" s="90"/>
      <c r="U70" s="90"/>
      <c r="V70" s="91">
        <f>Z67*Y22</f>
        <v>0</v>
      </c>
      <c r="W70" s="242">
        <f>V70</f>
        <v>0</v>
      </c>
      <c r="X70" s="90"/>
      <c r="Y70" s="91" t="s">
        <v>25</v>
      </c>
      <c r="Z70" s="91">
        <f>T67</f>
        <v>0</v>
      </c>
      <c r="AA70" s="90" t="s">
        <v>27</v>
      </c>
      <c r="AB70" s="91">
        <f>AF4*2</f>
        <v>200</v>
      </c>
      <c r="AC70" s="97">
        <f>Z70/AB70</f>
        <v>0</v>
      </c>
      <c r="AD70" s="90"/>
      <c r="AE70" s="117"/>
    </row>
    <row r="71" spans="1:35" ht="15" x14ac:dyDescent="0.25">
      <c r="A71" s="373" t="str">
        <f>R103</f>
        <v>Horizontal mounting, single unit, carriage at top</v>
      </c>
      <c r="B71" s="17"/>
      <c r="C71" s="17"/>
      <c r="D71" s="17"/>
      <c r="E71" s="17"/>
      <c r="F71" s="17"/>
      <c r="G71" s="17"/>
      <c r="H71" s="17"/>
      <c r="I71" s="17"/>
      <c r="J71" s="17"/>
      <c r="P71" s="68"/>
      <c r="Q71" s="94" t="s">
        <v>23</v>
      </c>
      <c r="R71" s="98"/>
      <c r="S71" s="98"/>
      <c r="T71" s="98"/>
      <c r="U71" s="98"/>
      <c r="V71" s="239">
        <f>Z68*Y22</f>
        <v>0</v>
      </c>
      <c r="W71" s="95">
        <f>V71</f>
        <v>0</v>
      </c>
      <c r="X71" s="98"/>
      <c r="Y71" s="99" t="s">
        <v>26</v>
      </c>
      <c r="Z71" s="91">
        <f>T68</f>
        <v>0</v>
      </c>
      <c r="AA71" s="90" t="s">
        <v>27</v>
      </c>
      <c r="AB71" s="99"/>
      <c r="AC71" s="97"/>
      <c r="AD71" s="120" t="s">
        <v>83</v>
      </c>
    </row>
    <row r="72" spans="1:35" ht="15" x14ac:dyDescent="0.25">
      <c r="A72" s="17"/>
      <c r="B72" s="17"/>
      <c r="C72" s="17"/>
      <c r="D72" s="17"/>
      <c r="E72" s="17"/>
      <c r="F72" s="49"/>
      <c r="G72" s="17"/>
      <c r="H72" s="17"/>
      <c r="I72" s="17"/>
      <c r="J72" s="17"/>
      <c r="P72" s="68"/>
      <c r="Q72" s="92"/>
      <c r="R72" s="90"/>
      <c r="S72" s="90"/>
      <c r="T72" s="90"/>
      <c r="U72" s="90"/>
      <c r="V72" s="90"/>
      <c r="W72" s="90"/>
      <c r="X72" s="72"/>
      <c r="Y72" s="90"/>
      <c r="Z72" s="90"/>
      <c r="AA72" s="90"/>
      <c r="AB72" s="90"/>
      <c r="AC72" s="90"/>
      <c r="AD72" s="90"/>
    </row>
    <row r="73" spans="1:35" ht="15" x14ac:dyDescent="0.25">
      <c r="A73" s="17"/>
      <c r="B73" s="404" t="s">
        <v>78</v>
      </c>
      <c r="C73" s="17"/>
      <c r="D73" s="17" t="s">
        <v>79</v>
      </c>
      <c r="E73" s="17"/>
      <c r="F73" s="17"/>
      <c r="G73" s="17"/>
      <c r="H73" s="17"/>
      <c r="I73" s="17"/>
      <c r="J73" s="17"/>
      <c r="P73" s="68"/>
      <c r="Q73" s="92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 t="s">
        <v>69</v>
      </c>
      <c r="AC73" s="100">
        <f>SUM(AC67:AC72)</f>
        <v>0</v>
      </c>
      <c r="AD73" s="90"/>
      <c r="AE73" s="117"/>
    </row>
    <row r="74" spans="1:35" ht="15" x14ac:dyDescent="0.25">
      <c r="A74" s="293" t="s">
        <v>20</v>
      </c>
      <c r="B74" s="405">
        <f>X103</f>
        <v>18.100000000000001</v>
      </c>
      <c r="C74" s="17" t="s">
        <v>21</v>
      </c>
      <c r="D74" s="351">
        <f>Y103</f>
        <v>2800</v>
      </c>
      <c r="E74" s="17" t="s">
        <v>21</v>
      </c>
      <c r="F74" s="49" t="str">
        <f t="shared" ref="F74:F79" si="3">IF(B74&gt;D74,"Too much !"," ")</f>
        <v xml:space="preserve"> </v>
      </c>
      <c r="G74" s="17"/>
      <c r="H74" s="17"/>
      <c r="I74" s="17"/>
      <c r="J74" s="17"/>
      <c r="P74" s="68"/>
      <c r="Q74" s="101"/>
      <c r="R74" s="102"/>
      <c r="S74" s="102"/>
      <c r="T74" s="102"/>
      <c r="U74" s="102" t="s">
        <v>69</v>
      </c>
      <c r="V74" s="103">
        <f>SUM(V66:V73)</f>
        <v>0</v>
      </c>
      <c r="W74" s="103">
        <f>SUM(W66:W73)</f>
        <v>0</v>
      </c>
      <c r="X74" s="102" t="s">
        <v>21</v>
      </c>
      <c r="Y74" s="102"/>
      <c r="Z74" s="102"/>
      <c r="AA74" s="102"/>
      <c r="AB74" s="102"/>
      <c r="AC74" s="102"/>
    </row>
    <row r="75" spans="1:35" ht="15" x14ac:dyDescent="0.25">
      <c r="A75" s="293" t="s">
        <v>22</v>
      </c>
      <c r="B75" s="405">
        <f>Z103</f>
        <v>0</v>
      </c>
      <c r="C75" s="17" t="s">
        <v>21</v>
      </c>
      <c r="D75" s="293">
        <f>AA103</f>
        <v>1400</v>
      </c>
      <c r="E75" s="17" t="s">
        <v>21</v>
      </c>
      <c r="F75" s="49" t="str">
        <f t="shared" si="3"/>
        <v xml:space="preserve"> </v>
      </c>
      <c r="G75" s="17"/>
      <c r="H75" s="17"/>
      <c r="I75" s="17"/>
      <c r="J75" s="17"/>
    </row>
    <row r="76" spans="1:35" ht="15" x14ac:dyDescent="0.25">
      <c r="A76" s="293" t="s">
        <v>23</v>
      </c>
      <c r="B76" s="405">
        <f>AB103</f>
        <v>0</v>
      </c>
      <c r="C76" s="17" t="s">
        <v>21</v>
      </c>
      <c r="D76" s="293">
        <f>AC103</f>
        <v>1400</v>
      </c>
      <c r="E76" s="17" t="s">
        <v>21</v>
      </c>
      <c r="F76" s="49" t="str">
        <f t="shared" si="3"/>
        <v xml:space="preserve"> </v>
      </c>
      <c r="G76" s="17"/>
      <c r="H76" s="17"/>
      <c r="I76" s="17"/>
      <c r="J76" s="17"/>
      <c r="M76" s="90"/>
      <c r="P76" s="68"/>
      <c r="Q76" s="87" t="s">
        <v>88</v>
      </c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114"/>
      <c r="AF76" s="114"/>
    </row>
    <row r="77" spans="1:35" ht="15" x14ac:dyDescent="0.25">
      <c r="A77" s="293" t="s">
        <v>24</v>
      </c>
      <c r="B77" s="405">
        <f>AD103</f>
        <v>0</v>
      </c>
      <c r="C77" s="17" t="s">
        <v>27</v>
      </c>
      <c r="D77" s="293">
        <f>AE103</f>
        <v>50</v>
      </c>
      <c r="E77" s="17" t="s">
        <v>27</v>
      </c>
      <c r="F77" s="49" t="str">
        <f t="shared" si="3"/>
        <v xml:space="preserve"> </v>
      </c>
      <c r="G77" s="17"/>
      <c r="H77" s="17"/>
      <c r="I77" s="17"/>
      <c r="J77" s="17"/>
      <c r="P77" s="68"/>
      <c r="Q77" s="89" t="s">
        <v>66</v>
      </c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1" t="s">
        <v>72</v>
      </c>
      <c r="AC77" s="90"/>
      <c r="AD77" s="90"/>
      <c r="AE77" s="467"/>
      <c r="AF77" s="473"/>
    </row>
    <row r="78" spans="1:35" ht="15" x14ac:dyDescent="0.25">
      <c r="A78" s="293" t="s">
        <v>25</v>
      </c>
      <c r="B78" s="405">
        <f>AF103</f>
        <v>0</v>
      </c>
      <c r="C78" s="17" t="s">
        <v>27</v>
      </c>
      <c r="D78" s="351">
        <f>AG103</f>
        <v>100</v>
      </c>
      <c r="E78" s="17" t="s">
        <v>27</v>
      </c>
      <c r="F78" s="49" t="str">
        <f t="shared" si="3"/>
        <v xml:space="preserve"> </v>
      </c>
      <c r="G78" s="17"/>
      <c r="H78" s="17"/>
      <c r="I78" s="17"/>
      <c r="J78" s="17"/>
      <c r="P78" s="68"/>
      <c r="Q78" s="92"/>
      <c r="R78" s="90" t="s">
        <v>67</v>
      </c>
      <c r="S78" s="90" t="s">
        <v>68</v>
      </c>
      <c r="T78" s="90" t="s">
        <v>69</v>
      </c>
      <c r="U78" s="90"/>
      <c r="V78" s="90" t="s">
        <v>71</v>
      </c>
      <c r="W78" s="90"/>
      <c r="X78" s="90"/>
      <c r="Y78" s="93" t="s">
        <v>69</v>
      </c>
      <c r="Z78" s="90"/>
      <c r="AA78" s="90"/>
      <c r="AB78" s="91" t="s">
        <v>73</v>
      </c>
      <c r="AC78" s="90" t="s">
        <v>74</v>
      </c>
      <c r="AD78" s="90"/>
      <c r="AE78" s="114"/>
      <c r="AF78" s="114"/>
    </row>
    <row r="79" spans="1:35" ht="15" x14ac:dyDescent="0.25">
      <c r="A79" s="293" t="s">
        <v>26</v>
      </c>
      <c r="B79" s="405">
        <f>AH103</f>
        <v>0</v>
      </c>
      <c r="C79" s="17" t="s">
        <v>27</v>
      </c>
      <c r="D79" s="293">
        <f>AI103</f>
        <v>100</v>
      </c>
      <c r="E79" s="17" t="s">
        <v>27</v>
      </c>
      <c r="F79" s="49" t="str">
        <f t="shared" si="3"/>
        <v xml:space="preserve"> </v>
      </c>
      <c r="G79" s="17"/>
      <c r="H79" s="17"/>
      <c r="I79" s="17"/>
      <c r="J79" s="17"/>
      <c r="P79" s="68"/>
      <c r="Q79" s="94" t="s">
        <v>24</v>
      </c>
      <c r="R79" s="91">
        <v>0</v>
      </c>
      <c r="S79" s="91">
        <v>0</v>
      </c>
      <c r="T79" s="91">
        <f>C46</f>
        <v>0</v>
      </c>
      <c r="U79" s="90" t="s">
        <v>27</v>
      </c>
      <c r="V79" s="95">
        <f>T79/AR4*1000*Y22</f>
        <v>0</v>
      </c>
      <c r="W79" s="253">
        <f>V79</f>
        <v>0</v>
      </c>
      <c r="X79" s="90"/>
      <c r="Y79" s="91" t="s">
        <v>20</v>
      </c>
      <c r="Z79" s="96">
        <f>C43+(C49+AM4*S13)*C53+AP4*S13+V87+C49*10</f>
        <v>18.100000000000001</v>
      </c>
      <c r="AA79" s="90" t="s">
        <v>21</v>
      </c>
      <c r="AB79" s="91">
        <f>AB4</f>
        <v>2800</v>
      </c>
      <c r="AC79" s="90"/>
      <c r="AD79" s="90"/>
      <c r="AH79" s="66">
        <f>Z79</f>
        <v>18.100000000000001</v>
      </c>
      <c r="AI79" s="66">
        <f>C43+AP4*S13+W87+C49*10</f>
        <v>18</v>
      </c>
    </row>
    <row r="80" spans="1:35" ht="15" x14ac:dyDescent="0.25">
      <c r="A80" s="17"/>
      <c r="B80" s="17"/>
      <c r="C80" s="17"/>
      <c r="D80" s="17"/>
      <c r="E80" s="17"/>
      <c r="F80" s="23" t="s">
        <v>371</v>
      </c>
      <c r="G80" s="127">
        <f>AJ103</f>
        <v>1E-3</v>
      </c>
      <c r="H80" s="17"/>
      <c r="I80" s="17"/>
      <c r="J80" s="17"/>
      <c r="P80" s="68"/>
      <c r="Q80" s="94" t="s">
        <v>25</v>
      </c>
      <c r="R80" s="91">
        <f>C49*10*M51/1000</f>
        <v>0</v>
      </c>
      <c r="S80" s="91">
        <f>C49*C53*M51/1000</f>
        <v>0</v>
      </c>
      <c r="T80" s="91">
        <f>Y13*R80+S80+C47</f>
        <v>0</v>
      </c>
      <c r="U80" s="90" t="s">
        <v>27</v>
      </c>
      <c r="V80" s="95">
        <f>IF(AF18=1,AK13*T80,T80/U13*1000*Y22)</f>
        <v>0</v>
      </c>
      <c r="W80" s="90">
        <f>IF(AF18=1,AK13*(R80+C47),(R80+C47)/U13*1000*Y22)</f>
        <v>0</v>
      </c>
      <c r="X80" s="90"/>
      <c r="Y80" s="91" t="s">
        <v>22</v>
      </c>
      <c r="Z80" s="91">
        <f>C44</f>
        <v>0</v>
      </c>
      <c r="AA80" s="90" t="s">
        <v>21</v>
      </c>
      <c r="AB80" s="91">
        <f>AC4</f>
        <v>1400</v>
      </c>
      <c r="AC80" s="97">
        <f>Z80/AB80</f>
        <v>0</v>
      </c>
      <c r="AD80" s="90"/>
    </row>
    <row r="81" spans="1:35" ht="15" x14ac:dyDescent="0.25">
      <c r="A81" s="17"/>
      <c r="B81" s="106" t="str">
        <f>IF(AJ103&gt;1,"The total load is too much ! Select bigger unit or another configuration.",IF(B74&gt;D74,"The axial force is too much ! Select bigger unit or another configuration."," "))</f>
        <v xml:space="preserve"> </v>
      </c>
      <c r="C81" s="17"/>
      <c r="D81" s="17"/>
      <c r="E81" s="17"/>
      <c r="F81" s="17"/>
      <c r="G81" s="17"/>
      <c r="H81" s="17"/>
      <c r="I81" s="17"/>
      <c r="J81" s="17"/>
      <c r="P81" s="68"/>
      <c r="Q81" s="94" t="s">
        <v>26</v>
      </c>
      <c r="R81" s="91">
        <f>C49*10*M50/1000</f>
        <v>0</v>
      </c>
      <c r="S81" s="91">
        <f>C49*C53*M50/1000</f>
        <v>0</v>
      </c>
      <c r="T81" s="91">
        <f>Y13*R81+S81+C48</f>
        <v>0</v>
      </c>
      <c r="U81" s="90" t="s">
        <v>27</v>
      </c>
      <c r="V81" s="95">
        <f>IF(AF18=1,AK13*T81,T81/U13*1000*Y22)</f>
        <v>0</v>
      </c>
      <c r="W81" s="90">
        <f>IF(AF18=1,AK13*(C48+R81),(C48+R81)/U13*1000*Y22)</f>
        <v>0</v>
      </c>
      <c r="X81" s="90"/>
      <c r="Y81" s="91" t="s">
        <v>23</v>
      </c>
      <c r="Z81" s="91">
        <f>C45</f>
        <v>0</v>
      </c>
      <c r="AA81" s="90" t="s">
        <v>21</v>
      </c>
      <c r="AB81" s="91">
        <f>AD4</f>
        <v>1400</v>
      </c>
      <c r="AC81" s="97">
        <f>Z81/AB81</f>
        <v>0</v>
      </c>
      <c r="AD81" s="90"/>
    </row>
    <row r="82" spans="1:35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P82" s="68"/>
      <c r="Q82" s="94"/>
      <c r="R82" s="90"/>
      <c r="S82" s="90"/>
      <c r="T82" s="90"/>
      <c r="U82" s="90"/>
      <c r="V82" s="90"/>
      <c r="W82" s="90"/>
      <c r="X82" s="90"/>
      <c r="Y82" s="91" t="s">
        <v>24</v>
      </c>
      <c r="Z82" s="91">
        <f>T79</f>
        <v>0</v>
      </c>
      <c r="AA82" s="90" t="s">
        <v>27</v>
      </c>
      <c r="AB82" s="91">
        <f>AE4</f>
        <v>50</v>
      </c>
      <c r="AC82" s="97">
        <f>Z82/AB82</f>
        <v>0</v>
      </c>
      <c r="AD82" s="90"/>
      <c r="AE82" s="117"/>
    </row>
    <row r="83" spans="1:35" ht="15" x14ac:dyDescent="0.25">
      <c r="A83" s="17"/>
      <c r="B83" s="301" t="s">
        <v>323</v>
      </c>
      <c r="C83" s="373" t="str">
        <f>CONCATENATE(AS4,"0",IF(BO16&lt;10,0,""),BO16,IF(C19&lt;1000,"-00",IF(C19&lt;10000,"-0","-")),C19,IF(G19&lt;1000,"-00",IF(G19&lt;10000,"-0","-")),G19,"x",W13,IF(Q13&lt;3,"-0000",-G18))</f>
        <v>WM06S005-02100-02580xS-0000</v>
      </c>
      <c r="D83" s="17"/>
      <c r="E83" s="17"/>
      <c r="F83" s="17"/>
      <c r="G83" s="17"/>
      <c r="H83" s="17"/>
      <c r="I83" s="17"/>
      <c r="J83" s="17"/>
      <c r="P83" s="68"/>
      <c r="Q83" s="94" t="s">
        <v>22</v>
      </c>
      <c r="R83" s="90"/>
      <c r="S83" s="90"/>
      <c r="T83" s="90"/>
      <c r="U83" s="90"/>
      <c r="V83" s="91">
        <f>C44*Y22</f>
        <v>0</v>
      </c>
      <c r="W83" s="90">
        <f>V83</f>
        <v>0</v>
      </c>
      <c r="X83" s="90"/>
      <c r="Y83" s="91" t="s">
        <v>25</v>
      </c>
      <c r="Z83" s="91">
        <f>T80</f>
        <v>0</v>
      </c>
      <c r="AA83" s="90" t="s">
        <v>27</v>
      </c>
      <c r="AB83" s="91">
        <f>AF4</f>
        <v>100</v>
      </c>
      <c r="AC83" s="97">
        <f>Z83/AB83</f>
        <v>0</v>
      </c>
      <c r="AD83" s="90"/>
      <c r="AE83" s="117"/>
    </row>
    <row r="84" spans="1:35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P84" s="68"/>
      <c r="Q84" s="94" t="s">
        <v>23</v>
      </c>
      <c r="R84" s="98"/>
      <c r="S84" s="98"/>
      <c r="T84" s="98"/>
      <c r="U84" s="98"/>
      <c r="V84" s="99">
        <f>C45*Y22</f>
        <v>0</v>
      </c>
      <c r="W84" s="90">
        <f>V84</f>
        <v>0</v>
      </c>
      <c r="X84" s="98"/>
      <c r="Y84" s="99" t="s">
        <v>26</v>
      </c>
      <c r="Z84" s="91">
        <f>T81</f>
        <v>0</v>
      </c>
      <c r="AA84" s="90" t="s">
        <v>27</v>
      </c>
      <c r="AB84" s="99">
        <f>AG4</f>
        <v>100</v>
      </c>
      <c r="AC84" s="97">
        <f>Z84/AB84</f>
        <v>0</v>
      </c>
      <c r="AD84" s="98"/>
      <c r="AF84" s="117"/>
    </row>
    <row r="85" spans="1:35" ht="15" x14ac:dyDescent="0.25">
      <c r="A85" s="17"/>
      <c r="B85" s="373" t="s">
        <v>101</v>
      </c>
      <c r="C85" s="17"/>
      <c r="D85" s="17"/>
      <c r="E85" s="17"/>
      <c r="F85" s="17"/>
      <c r="G85" s="17"/>
      <c r="H85" s="17"/>
      <c r="I85" s="17"/>
      <c r="J85" s="17"/>
      <c r="P85" s="68"/>
      <c r="Q85" s="92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</row>
    <row r="86" spans="1:35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P86" s="68"/>
      <c r="Q86" s="92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 t="s">
        <v>69</v>
      </c>
      <c r="AC86" s="100">
        <f>SUM(AC80:AC85)</f>
        <v>0</v>
      </c>
      <c r="AD86" s="90"/>
      <c r="AE86" s="117"/>
      <c r="AF86" s="117"/>
    </row>
    <row r="87" spans="1:35" x14ac:dyDescent="0.2">
      <c r="A87" s="17"/>
      <c r="B87" s="17"/>
      <c r="C87" s="23" t="s">
        <v>103</v>
      </c>
      <c r="D87" s="40">
        <v>1</v>
      </c>
      <c r="E87" s="17"/>
      <c r="F87" s="17"/>
      <c r="G87" s="17"/>
      <c r="H87" s="17"/>
      <c r="I87" s="17"/>
      <c r="J87" s="17"/>
      <c r="M87" s="20"/>
      <c r="P87" s="68"/>
      <c r="Q87" s="101"/>
      <c r="R87" s="102"/>
      <c r="S87" s="102"/>
      <c r="T87" s="102"/>
      <c r="U87" s="102" t="s">
        <v>69</v>
      </c>
      <c r="V87" s="103">
        <f>SUM(V79:V86)</f>
        <v>0</v>
      </c>
      <c r="W87" s="103">
        <f>SUM(W79:W86)</f>
        <v>0</v>
      </c>
      <c r="X87" s="102" t="s">
        <v>21</v>
      </c>
      <c r="Y87" s="102"/>
      <c r="Z87" s="102"/>
      <c r="AA87" s="102"/>
      <c r="AB87" s="102"/>
      <c r="AC87" s="102"/>
    </row>
    <row r="88" spans="1:35" ht="15" x14ac:dyDescent="0.25">
      <c r="A88" s="17"/>
      <c r="B88" s="17"/>
      <c r="C88" s="23" t="s">
        <v>320</v>
      </c>
      <c r="D88" s="125" t="str">
        <f>IF(R116&lt;100000,R116,"&gt; 100 000")</f>
        <v>&gt; 100 000</v>
      </c>
      <c r="E88" s="17" t="s">
        <v>100</v>
      </c>
      <c r="F88" s="125" t="str">
        <f>IF(P116&gt;5*10^7,"&gt;50 000",P116/1000)</f>
        <v>&gt;50 000</v>
      </c>
      <c r="G88" s="17" t="s">
        <v>102</v>
      </c>
      <c r="H88" s="17"/>
      <c r="I88" s="17"/>
      <c r="J88" s="17"/>
      <c r="M88" s="20"/>
      <c r="P88" s="68"/>
    </row>
    <row r="89" spans="1:35" ht="15" x14ac:dyDescent="0.25">
      <c r="A89" s="17"/>
      <c r="B89" s="17"/>
      <c r="C89" s="23" t="s">
        <v>321</v>
      </c>
      <c r="D89" s="125" t="str">
        <f>IF(T119&lt;100000,T119,"&gt; 100 000")</f>
        <v>&gt; 100 000</v>
      </c>
      <c r="E89" s="17" t="s">
        <v>100</v>
      </c>
      <c r="F89" s="125" t="str">
        <f>IF(R119&gt;5*10^7,"&gt;50 000",R119/1000)</f>
        <v>&gt;50 000</v>
      </c>
      <c r="G89" s="17" t="s">
        <v>102</v>
      </c>
      <c r="H89" s="17"/>
      <c r="I89" s="17"/>
      <c r="J89" s="17"/>
      <c r="M89" s="20"/>
      <c r="P89" s="68"/>
      <c r="Q89" s="87" t="s">
        <v>89</v>
      </c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114"/>
      <c r="AF89" s="114"/>
    </row>
    <row r="90" spans="1:35" ht="15" x14ac:dyDescent="0.25">
      <c r="A90" s="17"/>
      <c r="B90" s="17"/>
      <c r="C90" s="23" t="s">
        <v>322</v>
      </c>
      <c r="D90" s="125" t="str">
        <f>IF(T122&lt;100000,T122,"&gt; 100 000")</f>
        <v>&gt; 100 000</v>
      </c>
      <c r="E90" s="17" t="s">
        <v>100</v>
      </c>
      <c r="F90" s="125" t="str">
        <f>IF(R122&gt;5*10^7,"&gt;50 000",R122/1000)</f>
        <v>&gt;50 000</v>
      </c>
      <c r="G90" s="17" t="s">
        <v>102</v>
      </c>
      <c r="H90" s="17"/>
      <c r="I90" s="17"/>
      <c r="J90" s="17"/>
      <c r="M90" s="20"/>
      <c r="P90" s="68"/>
      <c r="Q90" s="89" t="s">
        <v>66</v>
      </c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1" t="s">
        <v>72</v>
      </c>
      <c r="AC90" s="90"/>
      <c r="AD90" s="90"/>
      <c r="AE90" s="467"/>
      <c r="AF90" s="473"/>
    </row>
    <row r="91" spans="1:35" ht="15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P91" s="68"/>
      <c r="Q91" s="92"/>
      <c r="R91" s="90" t="s">
        <v>67</v>
      </c>
      <c r="S91" s="90" t="s">
        <v>68</v>
      </c>
      <c r="T91" s="90" t="s">
        <v>69</v>
      </c>
      <c r="U91" s="90"/>
      <c r="V91" s="90" t="s">
        <v>71</v>
      </c>
      <c r="W91" s="90"/>
      <c r="X91" s="90"/>
      <c r="Y91" s="93" t="s">
        <v>69</v>
      </c>
      <c r="Z91" s="90"/>
      <c r="AA91" s="90"/>
      <c r="AB91" s="91" t="s">
        <v>73</v>
      </c>
      <c r="AC91" s="90" t="s">
        <v>74</v>
      </c>
      <c r="AD91" s="90"/>
      <c r="AE91" s="114"/>
      <c r="AF91" s="114"/>
    </row>
    <row r="92" spans="1:35" ht="15" x14ac:dyDescent="0.25">
      <c r="A92" s="17"/>
      <c r="B92" s="17"/>
      <c r="C92" s="23" t="s">
        <v>104</v>
      </c>
      <c r="D92" s="40">
        <v>1</v>
      </c>
      <c r="E92" s="17"/>
      <c r="F92" s="23" t="s">
        <v>107</v>
      </c>
      <c r="G92" s="127">
        <f>D92*2*C58/60</f>
        <v>0.4</v>
      </c>
      <c r="H92" s="49" t="str">
        <f>IF(G92&gt;1,"Not possible !"," ")</f>
        <v xml:space="preserve"> </v>
      </c>
      <c r="I92" s="17"/>
      <c r="J92" s="17"/>
      <c r="P92" s="68"/>
      <c r="Q92" s="94" t="s">
        <v>24</v>
      </c>
      <c r="R92" s="91">
        <v>0</v>
      </c>
      <c r="S92" s="91">
        <v>0</v>
      </c>
      <c r="T92" s="91">
        <v>0</v>
      </c>
      <c r="U92" s="90" t="s">
        <v>27</v>
      </c>
      <c r="V92" s="95">
        <f>C46/D22*1000*Y22</f>
        <v>0</v>
      </c>
      <c r="W92" s="253">
        <f>V92</f>
        <v>0</v>
      </c>
      <c r="X92" s="90"/>
      <c r="Y92" s="91" t="s">
        <v>20</v>
      </c>
      <c r="Z92" s="96">
        <f>C43+C49*10+2*AM4*S13+2*AP4*S13+T94/D22*1000+(C49+2*AM4*S13)*C53</f>
        <v>38.200000000000003</v>
      </c>
      <c r="AA92" s="90" t="s">
        <v>21</v>
      </c>
      <c r="AB92" s="91">
        <f>AB4*2</f>
        <v>5600</v>
      </c>
      <c r="AC92" s="90"/>
      <c r="AD92" s="90"/>
      <c r="AH92" s="66">
        <f>Z92*(D22/2+M50)/D22</f>
        <v>19.100000000000001</v>
      </c>
      <c r="AI92" s="66">
        <f>C43+C49*10+2*AM4*S13+2*AP4*S13</f>
        <v>38</v>
      </c>
    </row>
    <row r="93" spans="1:35" x14ac:dyDescent="0.2">
      <c r="A93" s="17"/>
      <c r="B93" s="17"/>
      <c r="C93" s="23" t="s">
        <v>105</v>
      </c>
      <c r="D93" s="40">
        <v>8</v>
      </c>
      <c r="E93" s="17"/>
      <c r="F93" s="17"/>
      <c r="G93" s="17"/>
      <c r="H93" s="17"/>
      <c r="I93" s="17"/>
      <c r="J93" s="17"/>
      <c r="P93" s="68"/>
      <c r="Q93" s="94" t="s">
        <v>25</v>
      </c>
      <c r="R93" s="91">
        <f>C49*M51*10/1000</f>
        <v>0</v>
      </c>
      <c r="S93" s="91">
        <f>C49*C53*M51/1000</f>
        <v>0</v>
      </c>
      <c r="T93" s="91">
        <f>Y13*R93+S93+C47</f>
        <v>0</v>
      </c>
      <c r="U93" s="90" t="s">
        <v>27</v>
      </c>
      <c r="V93" s="95">
        <f>IF(AF18=1,AK13*T93,T93/U13*1000*Y22)</f>
        <v>0</v>
      </c>
      <c r="W93" s="90">
        <f>IF(AF18=1,AK13*(R93+C47),(R93+C47)/U13*1000*Y22)</f>
        <v>0</v>
      </c>
      <c r="X93" s="90"/>
      <c r="Y93" s="91" t="s">
        <v>22</v>
      </c>
      <c r="Z93" s="91">
        <f>C44</f>
        <v>0</v>
      </c>
      <c r="AA93" s="90" t="s">
        <v>21</v>
      </c>
      <c r="AB93" s="91">
        <f>AC4</f>
        <v>1400</v>
      </c>
      <c r="AC93" s="97">
        <f>Z93/AB93</f>
        <v>0</v>
      </c>
      <c r="AD93" s="90"/>
    </row>
    <row r="94" spans="1:35" x14ac:dyDescent="0.2">
      <c r="A94" s="17"/>
      <c r="B94" s="17"/>
      <c r="C94" s="23" t="s">
        <v>106</v>
      </c>
      <c r="D94" s="40">
        <v>220</v>
      </c>
      <c r="E94" s="17"/>
      <c r="F94" s="17"/>
      <c r="G94" s="17"/>
      <c r="H94" s="17"/>
      <c r="I94" s="17"/>
      <c r="J94" s="17"/>
      <c r="P94" s="68"/>
      <c r="Q94" s="94" t="s">
        <v>26</v>
      </c>
      <c r="R94" s="91">
        <f>C49*10*M50/1000</f>
        <v>0</v>
      </c>
      <c r="S94" s="91">
        <f>C49*C53*M50/1000</f>
        <v>0</v>
      </c>
      <c r="T94" s="91">
        <f>Y13*R94+S94+C48</f>
        <v>0</v>
      </c>
      <c r="U94" s="90" t="s">
        <v>27</v>
      </c>
      <c r="V94" s="95">
        <v>0</v>
      </c>
      <c r="W94" s="90">
        <v>0</v>
      </c>
      <c r="X94" s="90"/>
      <c r="Y94" s="91" t="s">
        <v>23</v>
      </c>
      <c r="Z94" s="96">
        <f>C45+C46/D22*1000*2</f>
        <v>0</v>
      </c>
      <c r="AA94" s="90" t="s">
        <v>21</v>
      </c>
      <c r="AB94" s="91">
        <f>AD4*2</f>
        <v>2800</v>
      </c>
      <c r="AC94" s="97">
        <f>Z94/AB94</f>
        <v>0</v>
      </c>
      <c r="AD94" s="90"/>
      <c r="AE94" s="117"/>
    </row>
    <row r="95" spans="1:35" x14ac:dyDescent="0.2">
      <c r="A95" s="17"/>
      <c r="B95" s="17"/>
      <c r="C95" s="17"/>
      <c r="D95" s="17"/>
      <c r="E95" s="17"/>
      <c r="F95" s="17"/>
      <c r="G95" s="17"/>
      <c r="H95" s="17"/>
      <c r="I95" s="17"/>
      <c r="J95" s="17"/>
      <c r="P95" s="68"/>
      <c r="Q95" s="94"/>
      <c r="R95" s="90"/>
      <c r="S95" s="90"/>
      <c r="T95" s="90"/>
      <c r="U95" s="90"/>
      <c r="V95" s="90"/>
      <c r="W95" s="90"/>
      <c r="X95" s="90"/>
      <c r="Y95" s="91" t="s">
        <v>24</v>
      </c>
      <c r="Z95" s="91">
        <v>0</v>
      </c>
      <c r="AA95" s="90" t="s">
        <v>27</v>
      </c>
      <c r="AB95" s="91"/>
      <c r="AC95" s="97"/>
      <c r="AD95" s="120" t="s">
        <v>84</v>
      </c>
    </row>
    <row r="96" spans="1:35" ht="15" x14ac:dyDescent="0.25">
      <c r="A96" s="17"/>
      <c r="B96" s="17"/>
      <c r="C96" s="373" t="s">
        <v>108</v>
      </c>
      <c r="D96" s="128" t="str">
        <f>IF(P116*10^3/C55/2/D92/60/D93/D94&gt;50,"&gt; 50",P116*10^3/C55/2/D92/60/D93/D94)</f>
        <v>&gt; 50</v>
      </c>
      <c r="E96" s="17" t="s">
        <v>109</v>
      </c>
      <c r="F96" s="417" t="s">
        <v>320</v>
      </c>
      <c r="G96" s="17"/>
      <c r="H96" s="17"/>
      <c r="I96" s="17"/>
      <c r="J96" s="17"/>
      <c r="P96" s="68"/>
      <c r="Q96" s="94" t="s">
        <v>22</v>
      </c>
      <c r="R96" s="90"/>
      <c r="S96" s="90"/>
      <c r="T96" s="90"/>
      <c r="U96" s="90"/>
      <c r="V96" s="91">
        <f>C44*Y22</f>
        <v>0</v>
      </c>
      <c r="W96" s="90">
        <f>V96</f>
        <v>0</v>
      </c>
      <c r="X96" s="90"/>
      <c r="Y96" s="91" t="s">
        <v>25</v>
      </c>
      <c r="Z96" s="91">
        <f>T93</f>
        <v>0</v>
      </c>
      <c r="AA96" s="90" t="s">
        <v>27</v>
      </c>
      <c r="AB96" s="91">
        <f>AF4*2</f>
        <v>200</v>
      </c>
      <c r="AC96" s="97">
        <f>Z96/AB96</f>
        <v>0</v>
      </c>
      <c r="AD96" s="90"/>
      <c r="AE96" s="117"/>
    </row>
    <row r="97" spans="1:48" ht="15" x14ac:dyDescent="0.25">
      <c r="A97" s="17"/>
      <c r="B97" s="17"/>
      <c r="C97" s="17"/>
      <c r="D97" s="128" t="str">
        <f>IF(V119&gt;50,"&gt; 50",V119)</f>
        <v>&gt; 50</v>
      </c>
      <c r="E97" s="17" t="s">
        <v>109</v>
      </c>
      <c r="F97" s="417" t="s">
        <v>321</v>
      </c>
      <c r="G97" s="17"/>
      <c r="H97" s="17"/>
      <c r="I97" s="17"/>
      <c r="J97" s="17"/>
      <c r="P97" s="68"/>
      <c r="Q97" s="94" t="s">
        <v>23</v>
      </c>
      <c r="R97" s="98"/>
      <c r="S97" s="98"/>
      <c r="T97" s="98"/>
      <c r="U97" s="98"/>
      <c r="V97" s="91">
        <f>Z94*Y22</f>
        <v>0</v>
      </c>
      <c r="W97" s="98">
        <f>V97</f>
        <v>0</v>
      </c>
      <c r="X97" s="98"/>
      <c r="Y97" s="99" t="s">
        <v>26</v>
      </c>
      <c r="Z97" s="91">
        <f>T94</f>
        <v>0</v>
      </c>
      <c r="AA97" s="90" t="s">
        <v>27</v>
      </c>
      <c r="AB97" s="99"/>
      <c r="AC97" s="97"/>
      <c r="AD97" s="120" t="s">
        <v>83</v>
      </c>
    </row>
    <row r="98" spans="1:48" ht="15" x14ac:dyDescent="0.25">
      <c r="A98" s="17"/>
      <c r="B98" s="17"/>
      <c r="C98" s="17"/>
      <c r="D98" s="128" t="str">
        <f>IF(V122&gt;50,"&gt; 50",V122)</f>
        <v>&gt; 50</v>
      </c>
      <c r="E98" s="17" t="s">
        <v>109</v>
      </c>
      <c r="F98" s="417" t="s">
        <v>322</v>
      </c>
      <c r="G98" s="17"/>
      <c r="H98" s="17"/>
      <c r="I98" s="17"/>
      <c r="J98" s="17"/>
      <c r="P98" s="68"/>
      <c r="Q98" s="92"/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</row>
    <row r="99" spans="1:48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P99" s="68"/>
      <c r="Q99" s="92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 t="s">
        <v>69</v>
      </c>
      <c r="AC99" s="100">
        <f>SUM(AC93:AC98)</f>
        <v>0</v>
      </c>
      <c r="AD99" s="90"/>
      <c r="AE99" s="117"/>
    </row>
    <row r="100" spans="1:48" ht="15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P100" s="68"/>
      <c r="Q100" s="101"/>
      <c r="R100" s="102"/>
      <c r="S100" s="102"/>
      <c r="T100" s="102"/>
      <c r="U100" s="102" t="s">
        <v>69</v>
      </c>
      <c r="V100" s="103">
        <f>SUM(V92:V99)</f>
        <v>0</v>
      </c>
      <c r="W100" s="103">
        <f>SUM(W92:W99)</f>
        <v>0</v>
      </c>
      <c r="X100" s="102" t="s">
        <v>21</v>
      </c>
      <c r="Y100" s="102"/>
      <c r="Z100" s="102"/>
      <c r="AA100" s="102"/>
      <c r="AB100" s="102"/>
      <c r="AC100" s="102"/>
      <c r="AD100" s="102"/>
      <c r="AF100" s="234"/>
      <c r="AG100" s="235" t="s">
        <v>300</v>
      </c>
      <c r="AH100" s="115"/>
      <c r="AM100" s="469" t="s">
        <v>115</v>
      </c>
      <c r="AN100" s="469" t="s">
        <v>116</v>
      </c>
    </row>
    <row r="101" spans="1:48" ht="15" x14ac:dyDescent="0.25">
      <c r="A101" s="17"/>
      <c r="B101" s="17"/>
      <c r="C101" s="23" t="s">
        <v>121</v>
      </c>
      <c r="D101" s="136">
        <f>N135</f>
        <v>0.8600000000000001</v>
      </c>
      <c r="E101" s="17" t="s">
        <v>119</v>
      </c>
      <c r="F101" s="125">
        <f>R112</f>
        <v>2400</v>
      </c>
      <c r="G101" s="17" t="s">
        <v>120</v>
      </c>
      <c r="H101" s="418">
        <f>C52</f>
        <v>0.2</v>
      </c>
      <c r="I101" s="17" t="s">
        <v>34</v>
      </c>
      <c r="J101" s="17"/>
      <c r="AK101" s="236" t="s">
        <v>301</v>
      </c>
      <c r="AL101" s="237"/>
      <c r="AM101" s="469"/>
      <c r="AN101" s="469"/>
    </row>
    <row r="102" spans="1:48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X102" s="468" t="s">
        <v>91</v>
      </c>
      <c r="Y102" s="468"/>
      <c r="Z102" s="468" t="s">
        <v>54</v>
      </c>
      <c r="AA102" s="468"/>
      <c r="AB102" s="468" t="s">
        <v>55</v>
      </c>
      <c r="AC102" s="468"/>
      <c r="AD102" s="474" t="s">
        <v>56</v>
      </c>
      <c r="AE102" s="474"/>
      <c r="AF102" s="468" t="s">
        <v>57</v>
      </c>
      <c r="AG102" s="468"/>
      <c r="AH102" s="468" t="s">
        <v>58</v>
      </c>
      <c r="AI102" s="468"/>
      <c r="AJ102" s="122" t="s">
        <v>92</v>
      </c>
      <c r="AK102" s="116" t="s">
        <v>302</v>
      </c>
      <c r="AL102" s="131"/>
      <c r="AM102" s="469"/>
      <c r="AN102" s="469"/>
    </row>
    <row r="103" spans="1:48" ht="15" x14ac:dyDescent="0.25">
      <c r="A103" s="17"/>
      <c r="B103" s="17"/>
      <c r="C103" s="23" t="s">
        <v>122</v>
      </c>
      <c r="D103" s="419">
        <f>P145</f>
        <v>0.87591549430918958</v>
      </c>
      <c r="E103" s="17" t="s">
        <v>119</v>
      </c>
      <c r="F103" s="420">
        <f>D103*R112/9.55</f>
        <v>220.12535982639318</v>
      </c>
      <c r="G103" s="17" t="s">
        <v>124</v>
      </c>
      <c r="H103" s="17"/>
      <c r="I103" s="17"/>
      <c r="J103" s="17"/>
      <c r="R103" s="16" t="str">
        <f>VLOOKUP($AA$18,$Q$104:R109,2)</f>
        <v>Horizontal mounting, single unit, carriage at top</v>
      </c>
      <c r="S103" s="16" t="str">
        <f>VLOOKUP($AA$18,$Q$104:S109,2)</f>
        <v>Horizontal mounting, single unit, carriage at top</v>
      </c>
      <c r="X103" s="104">
        <f>VLOOKUP($AA$18,$Q$104:X109,8)</f>
        <v>18.100000000000001</v>
      </c>
      <c r="Y103" s="104">
        <f>VLOOKUP($AA$18,$Q$104:Y109,9)</f>
        <v>2800</v>
      </c>
      <c r="Z103" s="16">
        <f>VLOOKUP($AA$18,$Q$104:Z109,10)</f>
        <v>0</v>
      </c>
      <c r="AA103" s="16">
        <f>VLOOKUP($AA$18,$Q$104:AA109,11)</f>
        <v>1400</v>
      </c>
      <c r="AB103" s="16">
        <f>VLOOKUP($AA$18,$Q$104:AB109,12)</f>
        <v>0</v>
      </c>
      <c r="AC103" s="16">
        <f>VLOOKUP($AA$18,$Q$104:AC109,13)</f>
        <v>1400</v>
      </c>
      <c r="AD103" s="16">
        <f>VLOOKUP($AA$18,$Q$104:AD109,14)</f>
        <v>0</v>
      </c>
      <c r="AE103" s="16">
        <f>VLOOKUP($AA$18,$Q$104:AE109,15)</f>
        <v>50</v>
      </c>
      <c r="AF103" s="16">
        <f>VLOOKUP($AA$18,$Q$104:AF109,16)</f>
        <v>0</v>
      </c>
      <c r="AG103" s="16">
        <f>VLOOKUP($AA$18,$Q$104:AG109,17)</f>
        <v>100</v>
      </c>
      <c r="AH103" s="16">
        <f>VLOOKUP($AA$18,$Q$104:AH109,18)</f>
        <v>0</v>
      </c>
      <c r="AI103" s="16">
        <f>VLOOKUP($AA$18,$Q$104:AI109,19)</f>
        <v>100</v>
      </c>
      <c r="AJ103" s="113">
        <f>VLOOKUP($AA$18,$Q$104:AJ109,20)+0.001</f>
        <v>1E-3</v>
      </c>
      <c r="AK103" s="123">
        <f>VLOOKUP($AA$18,$Q$104:AK109,21)</f>
        <v>18.100000000000001</v>
      </c>
      <c r="AL103" s="123">
        <f>VLOOKUP($AA$18,$Q$104:AL109,22)</f>
        <v>0</v>
      </c>
      <c r="AM103" s="123">
        <f>VLOOKUP($AA$18,$Q$104:AM109,23)</f>
        <v>18</v>
      </c>
      <c r="AN103" s="123">
        <f>VLOOKUP($AA$18,$Q$104:AN109,24)</f>
        <v>18.100000000000001</v>
      </c>
    </row>
    <row r="104" spans="1:48" ht="15" x14ac:dyDescent="0.25">
      <c r="A104" s="17"/>
      <c r="B104" s="17"/>
      <c r="C104" s="23" t="s">
        <v>123</v>
      </c>
      <c r="D104" s="419">
        <f>P146</f>
        <v>0.90343227953456795</v>
      </c>
      <c r="E104" s="17" t="s">
        <v>119</v>
      </c>
      <c r="F104" s="420">
        <f>D104*R112/9.55</f>
        <v>227.04057286732595</v>
      </c>
      <c r="G104" s="17" t="s">
        <v>124</v>
      </c>
      <c r="H104" s="17"/>
      <c r="I104" s="17"/>
      <c r="J104" s="17"/>
      <c r="Q104" s="67">
        <v>1</v>
      </c>
      <c r="R104" s="93" t="s">
        <v>90</v>
      </c>
      <c r="X104" s="104">
        <f>Z26</f>
        <v>18.100000000000001</v>
      </c>
      <c r="Y104" s="16">
        <f>AB26</f>
        <v>2800</v>
      </c>
      <c r="Z104" s="16">
        <f>Z27</f>
        <v>0</v>
      </c>
      <c r="AA104" s="16">
        <f>AB27</f>
        <v>1400</v>
      </c>
      <c r="AB104" s="16">
        <f>Z28</f>
        <v>0</v>
      </c>
      <c r="AC104" s="16">
        <f>AB28</f>
        <v>1400</v>
      </c>
      <c r="AD104" s="16">
        <f>Z29</f>
        <v>0</v>
      </c>
      <c r="AE104" s="16">
        <f>AB29</f>
        <v>50</v>
      </c>
      <c r="AF104" s="16">
        <f>Z30</f>
        <v>0</v>
      </c>
      <c r="AG104" s="16">
        <f>AB30</f>
        <v>100</v>
      </c>
      <c r="AH104" s="16">
        <f>Z31</f>
        <v>0</v>
      </c>
      <c r="AI104" s="16">
        <f>AB31</f>
        <v>100</v>
      </c>
      <c r="AJ104" s="105">
        <f>AC33</f>
        <v>0</v>
      </c>
      <c r="AK104" s="117">
        <f>AH26</f>
        <v>18.100000000000001</v>
      </c>
      <c r="AL104" s="117">
        <f>AF33</f>
        <v>0</v>
      </c>
      <c r="AM104" s="117">
        <f>AI26</f>
        <v>18</v>
      </c>
      <c r="AN104" s="117">
        <f>AH26</f>
        <v>18.100000000000001</v>
      </c>
    </row>
    <row r="105" spans="1:48" ht="15" x14ac:dyDescent="0.25">
      <c r="A105" s="17"/>
      <c r="B105" s="17"/>
      <c r="C105" s="23" t="s">
        <v>219</v>
      </c>
      <c r="D105" s="421">
        <f>S154</f>
        <v>2.1890125739776461E-4</v>
      </c>
      <c r="E105" s="17" t="s">
        <v>220</v>
      </c>
      <c r="F105" s="17"/>
      <c r="G105" s="17"/>
      <c r="H105" s="17"/>
      <c r="I105" s="17"/>
      <c r="J105" s="17"/>
      <c r="Q105" s="67">
        <v>2</v>
      </c>
      <c r="R105" s="75" t="s">
        <v>87</v>
      </c>
      <c r="X105" s="104">
        <f>Z40</f>
        <v>36.200000000000003</v>
      </c>
      <c r="Y105" s="16">
        <f>AB40</f>
        <v>5600</v>
      </c>
      <c r="Z105" s="16">
        <f>Z41</f>
        <v>0</v>
      </c>
      <c r="AA105" s="16">
        <f>AB41</f>
        <v>1400</v>
      </c>
      <c r="AB105" s="16">
        <f>Z42</f>
        <v>0</v>
      </c>
      <c r="AC105" s="16">
        <f>AB42</f>
        <v>2800</v>
      </c>
      <c r="AD105" s="16" t="str">
        <f>IF(Z43=0," - ",Z43)</f>
        <v xml:space="preserve"> - </v>
      </c>
      <c r="AE105" s="16" t="str">
        <f>IF(AB43=0," - ",AB43)</f>
        <v xml:space="preserve"> - </v>
      </c>
      <c r="AF105" s="16">
        <f>Z44</f>
        <v>0</v>
      </c>
      <c r="AG105" s="16">
        <f>AB44</f>
        <v>200</v>
      </c>
      <c r="AH105" s="16">
        <f>Z45</f>
        <v>0</v>
      </c>
      <c r="AI105" s="16" t="str">
        <f>IF(AB45=0," - ",AB45)</f>
        <v xml:space="preserve"> - </v>
      </c>
      <c r="AJ105" s="105">
        <f>AC47</f>
        <v>0</v>
      </c>
      <c r="AK105" s="117">
        <f>AH40</f>
        <v>18.100000000000001</v>
      </c>
      <c r="AL105" s="16">
        <f>AF47</f>
        <v>0</v>
      </c>
      <c r="AM105" s="117">
        <f>AI40</f>
        <v>36</v>
      </c>
      <c r="AN105" s="117">
        <f>AH40*2</f>
        <v>36.200000000000003</v>
      </c>
    </row>
    <row r="106" spans="1:48" ht="15" x14ac:dyDescent="0.25">
      <c r="A106" s="17"/>
      <c r="B106" s="49" t="str">
        <f>IF(AND(Q18=1,P146&gt;AI4),"Too high drive torque",IF(AND(Q18=2,P146&gt;2*AI4),"Too high drive torque"," "))</f>
        <v xml:space="preserve"> </v>
      </c>
      <c r="C106" s="17"/>
      <c r="D106" s="17"/>
      <c r="E106" s="17"/>
      <c r="F106" s="17"/>
      <c r="G106" s="17"/>
      <c r="H106" s="17"/>
      <c r="I106" s="17"/>
      <c r="J106" s="17"/>
      <c r="Q106" s="67">
        <v>3</v>
      </c>
      <c r="R106" s="93" t="s">
        <v>85</v>
      </c>
      <c r="X106" s="104">
        <f>Z53</f>
        <v>18.100000000000001</v>
      </c>
      <c r="Y106" s="16">
        <f>AB53</f>
        <v>2800</v>
      </c>
      <c r="Z106" s="16">
        <f>Z54</f>
        <v>0</v>
      </c>
      <c r="AA106" s="16">
        <f>AB54</f>
        <v>1400</v>
      </c>
      <c r="AB106" s="16">
        <f>Z55</f>
        <v>0</v>
      </c>
      <c r="AC106" s="16">
        <f>AB55</f>
        <v>1400</v>
      </c>
      <c r="AD106" s="16">
        <f>Z56</f>
        <v>0</v>
      </c>
      <c r="AE106" s="16">
        <f>AB56</f>
        <v>50</v>
      </c>
      <c r="AF106" s="16">
        <f>Z57</f>
        <v>0</v>
      </c>
      <c r="AG106" s="16">
        <f>AB57</f>
        <v>100</v>
      </c>
      <c r="AH106" s="16">
        <f>Z58</f>
        <v>0</v>
      </c>
      <c r="AI106" s="16">
        <f>AB58</f>
        <v>100</v>
      </c>
      <c r="AJ106" s="105">
        <f>AC60</f>
        <v>0</v>
      </c>
      <c r="AK106" s="117">
        <f>AH53</f>
        <v>18.100000000000001</v>
      </c>
      <c r="AL106" s="117">
        <f>AF60</f>
        <v>0</v>
      </c>
      <c r="AM106" s="117">
        <f>AI53</f>
        <v>18</v>
      </c>
      <c r="AN106" s="117">
        <f>AH53</f>
        <v>18.100000000000001</v>
      </c>
    </row>
    <row r="107" spans="1:48" ht="15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Q107" s="67">
        <v>4</v>
      </c>
      <c r="R107" s="93" t="s">
        <v>86</v>
      </c>
      <c r="X107" s="104">
        <f>Z66</f>
        <v>0.2</v>
      </c>
      <c r="Y107" s="16">
        <f>AB66</f>
        <v>5600</v>
      </c>
      <c r="Z107" s="16">
        <f>Z67</f>
        <v>0</v>
      </c>
      <c r="AA107" s="16">
        <f>AB67</f>
        <v>1400</v>
      </c>
      <c r="AB107" s="104">
        <f>Z68</f>
        <v>0</v>
      </c>
      <c r="AC107" s="16">
        <f>AB68</f>
        <v>2800</v>
      </c>
      <c r="AD107" s="16" t="str">
        <f>IF(Z69=0," - ",Z69)</f>
        <v xml:space="preserve"> - </v>
      </c>
      <c r="AE107" s="16" t="str">
        <f>IF(AB69=0," - ",AB69)</f>
        <v xml:space="preserve"> - </v>
      </c>
      <c r="AF107" s="16">
        <f>Z70</f>
        <v>0</v>
      </c>
      <c r="AG107" s="16">
        <f>AB70</f>
        <v>200</v>
      </c>
      <c r="AH107" s="16">
        <f>Z71</f>
        <v>0</v>
      </c>
      <c r="AI107" s="16" t="str">
        <f>IF(AB71=0," - ",AB71)</f>
        <v xml:space="preserve"> - </v>
      </c>
      <c r="AJ107" s="105">
        <f>AC73</f>
        <v>0</v>
      </c>
      <c r="AK107" s="117">
        <f>AH66</f>
        <v>0.1</v>
      </c>
      <c r="AL107" s="16">
        <f>AF73</f>
        <v>0</v>
      </c>
      <c r="AM107" s="117">
        <f>AI66</f>
        <v>0</v>
      </c>
      <c r="AN107" s="117">
        <f>AH66*2</f>
        <v>0.2</v>
      </c>
    </row>
    <row r="108" spans="1:48" ht="15" x14ac:dyDescent="0.25">
      <c r="A108" s="17"/>
      <c r="B108" s="423" t="s">
        <v>125</v>
      </c>
      <c r="C108" s="424"/>
      <c r="D108" s="17"/>
      <c r="E108" s="17"/>
      <c r="F108" s="17"/>
      <c r="G108" s="17"/>
      <c r="H108" s="17"/>
      <c r="I108" s="17"/>
      <c r="J108" s="17"/>
      <c r="Q108" s="67">
        <v>5</v>
      </c>
      <c r="R108" s="93" t="s">
        <v>88</v>
      </c>
      <c r="X108" s="104">
        <f>Z79</f>
        <v>18.100000000000001</v>
      </c>
      <c r="Y108" s="16">
        <f>AB79</f>
        <v>2800</v>
      </c>
      <c r="Z108" s="16">
        <f>Z80</f>
        <v>0</v>
      </c>
      <c r="AA108" s="16">
        <f>AB80</f>
        <v>1400</v>
      </c>
      <c r="AB108" s="16">
        <f>Z81</f>
        <v>0</v>
      </c>
      <c r="AC108" s="16">
        <f>AB81</f>
        <v>1400</v>
      </c>
      <c r="AD108" s="16">
        <f>Z82</f>
        <v>0</v>
      </c>
      <c r="AE108" s="16">
        <f>AB82</f>
        <v>50</v>
      </c>
      <c r="AF108" s="16">
        <f>Z83</f>
        <v>0</v>
      </c>
      <c r="AG108" s="16">
        <f>AB83</f>
        <v>100</v>
      </c>
      <c r="AH108" s="16">
        <f>Z84</f>
        <v>0</v>
      </c>
      <c r="AI108" s="16">
        <f>AB84</f>
        <v>100</v>
      </c>
      <c r="AJ108" s="105">
        <f>AC86</f>
        <v>0</v>
      </c>
      <c r="AK108" s="117">
        <f>AH79</f>
        <v>18.100000000000001</v>
      </c>
      <c r="AL108" s="117">
        <f>AF86</f>
        <v>0</v>
      </c>
      <c r="AM108" s="104">
        <f>AI79</f>
        <v>18</v>
      </c>
      <c r="AN108" s="117">
        <f>AH79</f>
        <v>18.100000000000001</v>
      </c>
    </row>
    <row r="109" spans="1:48" ht="15" x14ac:dyDescent="0.25">
      <c r="A109" s="17"/>
      <c r="B109" s="17"/>
      <c r="C109" s="17"/>
      <c r="D109" s="17"/>
      <c r="E109" s="17"/>
      <c r="F109" s="17"/>
      <c r="G109" s="17"/>
      <c r="H109" s="17"/>
      <c r="I109" s="425"/>
      <c r="J109" s="426"/>
      <c r="Q109" s="67">
        <v>6</v>
      </c>
      <c r="R109" s="93" t="s">
        <v>89</v>
      </c>
      <c r="X109" s="104">
        <f>Z92</f>
        <v>38.200000000000003</v>
      </c>
      <c r="Y109" s="16">
        <f>AB92</f>
        <v>5600</v>
      </c>
      <c r="Z109" s="16">
        <f>Z93</f>
        <v>0</v>
      </c>
      <c r="AA109" s="16">
        <f>AB93</f>
        <v>1400</v>
      </c>
      <c r="AB109" s="104">
        <f>Z94</f>
        <v>0</v>
      </c>
      <c r="AC109" s="16">
        <f>AB94</f>
        <v>2800</v>
      </c>
      <c r="AD109" s="16" t="str">
        <f>IF(Z95=0," - ",Z95)</f>
        <v xml:space="preserve"> - </v>
      </c>
      <c r="AE109" s="16" t="str">
        <f>IF(AB95=0," - ",AB95)</f>
        <v xml:space="preserve"> - </v>
      </c>
      <c r="AF109" s="16">
        <f>Z96</f>
        <v>0</v>
      </c>
      <c r="AG109" s="16">
        <f>AB96</f>
        <v>200</v>
      </c>
      <c r="AH109" s="16">
        <f>Z97</f>
        <v>0</v>
      </c>
      <c r="AI109" s="16">
        <f>AB97</f>
        <v>0</v>
      </c>
      <c r="AJ109" s="105">
        <f>AC99</f>
        <v>0</v>
      </c>
      <c r="AK109" s="117">
        <f>AH92</f>
        <v>19.100000000000001</v>
      </c>
      <c r="AL109" s="16">
        <f>AF99</f>
        <v>0</v>
      </c>
      <c r="AM109" s="104">
        <f>AI92</f>
        <v>38</v>
      </c>
      <c r="AN109" s="117">
        <f>AH92*2</f>
        <v>38.200000000000003</v>
      </c>
    </row>
    <row r="110" spans="1:48" ht="15" x14ac:dyDescent="0.25">
      <c r="A110" s="17"/>
      <c r="B110" s="17"/>
      <c r="C110" s="17"/>
      <c r="D110" s="17"/>
      <c r="E110" s="17"/>
      <c r="F110" s="17"/>
      <c r="G110" s="17"/>
      <c r="H110" s="17"/>
      <c r="I110" s="427"/>
      <c r="J110" s="426"/>
    </row>
    <row r="111" spans="1:48" ht="15" x14ac:dyDescent="0.25">
      <c r="A111" s="17"/>
      <c r="B111" s="17"/>
      <c r="C111" s="23" t="str">
        <f>IF($L$253=2,"Ratio"," ")</f>
        <v xml:space="preserve"> </v>
      </c>
      <c r="D111" s="154">
        <v>2</v>
      </c>
      <c r="E111" s="17"/>
      <c r="F111" s="17"/>
      <c r="G111" s="17"/>
      <c r="H111" s="17"/>
      <c r="I111" s="428"/>
      <c r="J111" s="426"/>
    </row>
    <row r="112" spans="1:48" ht="15.75" x14ac:dyDescent="0.25">
      <c r="A112" s="17"/>
      <c r="B112" s="17"/>
      <c r="C112" s="23" t="str">
        <f>IF($L$253=2,"Effiency factor"," ")</f>
        <v xml:space="preserve"> </v>
      </c>
      <c r="D112" s="155">
        <v>0.95</v>
      </c>
      <c r="E112" s="17"/>
      <c r="F112" s="17"/>
      <c r="G112" s="17"/>
      <c r="H112" s="17"/>
      <c r="I112" s="17"/>
      <c r="J112" s="17"/>
      <c r="Q112" s="51" t="s">
        <v>346</v>
      </c>
      <c r="R112" s="104">
        <f>$C$52*1000/BO16*60</f>
        <v>2400</v>
      </c>
      <c r="T112" s="51" t="s">
        <v>205</v>
      </c>
      <c r="U112" s="104">
        <f>R112*IF(L253=1,1,D111)</f>
        <v>2400</v>
      </c>
      <c r="V112" s="240" t="s">
        <v>129</v>
      </c>
      <c r="W112" s="240"/>
      <c r="AP112" s="186"/>
      <c r="AQ112" s="135"/>
      <c r="AR112" s="135"/>
      <c r="AS112" s="135"/>
      <c r="AT112" s="184"/>
      <c r="AU112" s="181"/>
      <c r="AV112" s="72"/>
    </row>
    <row r="113" spans="1:48" ht="15" x14ac:dyDescent="0.2">
      <c r="A113" s="17"/>
      <c r="B113" s="17"/>
      <c r="C113" s="23" t="str">
        <f>IF($L$253=2,"Idle torque"," ")</f>
        <v xml:space="preserve"> </v>
      </c>
      <c r="D113" s="154">
        <v>0.1</v>
      </c>
      <c r="E113" s="417" t="str">
        <f>IF($L$253=2,"Nm"," ")</f>
        <v xml:space="preserve"> </v>
      </c>
      <c r="F113" s="17"/>
      <c r="G113" s="17"/>
      <c r="H113" s="17"/>
      <c r="I113" s="17"/>
      <c r="J113" s="17"/>
      <c r="R113" s="90"/>
      <c r="S113" s="90"/>
      <c r="T113" s="90"/>
      <c r="U113" s="90"/>
      <c r="V113" s="90"/>
      <c r="W113" s="90"/>
      <c r="AP113" s="183"/>
      <c r="AQ113" s="179"/>
      <c r="AR113" s="180"/>
      <c r="AS113" s="187"/>
      <c r="AT113" s="183"/>
      <c r="AU113" s="181"/>
      <c r="AV113" s="72"/>
    </row>
    <row r="114" spans="1:48" ht="15.75" x14ac:dyDescent="0.25">
      <c r="A114" s="17"/>
      <c r="B114" s="17"/>
      <c r="C114" s="23" t="str">
        <f>IF($L$253=2,"Inertia"," ")</f>
        <v xml:space="preserve"> </v>
      </c>
      <c r="D114" s="154">
        <v>5.0000000000000002E-5</v>
      </c>
      <c r="E114" s="417" t="str">
        <f>IF($L$253=2,"kg m²"," ")</f>
        <v xml:space="preserve"> </v>
      </c>
      <c r="F114" s="373" t="str">
        <f>IF(AND(L253=2,Q18=2),"Total inertia for gears and parallel shaft"," ")</f>
        <v xml:space="preserve"> </v>
      </c>
      <c r="G114" s="17"/>
      <c r="H114" s="17"/>
      <c r="I114" s="17"/>
      <c r="J114" s="17"/>
      <c r="N114" s="109" t="s">
        <v>303</v>
      </c>
      <c r="Q114" s="16" t="s">
        <v>304</v>
      </c>
      <c r="AP114" s="183"/>
      <c r="AQ114" s="179"/>
      <c r="AR114" s="180"/>
      <c r="AS114" s="179"/>
      <c r="AT114" s="182"/>
      <c r="AU114" s="181"/>
      <c r="AV114" s="72"/>
    </row>
    <row r="115" spans="1:48" ht="18.75" x14ac:dyDescent="0.3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N115" s="16" t="s">
        <v>310</v>
      </c>
      <c r="Q115" s="51"/>
      <c r="R115" s="104"/>
      <c r="AP115" s="135"/>
      <c r="AQ115" s="135"/>
      <c r="AR115" s="183"/>
      <c r="AS115" s="187"/>
      <c r="AT115" s="184"/>
      <c r="AU115" s="181"/>
      <c r="AV115" s="72"/>
    </row>
    <row r="116" spans="1:48" ht="18.75" x14ac:dyDescent="0.3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N116" s="16" t="s">
        <v>305</v>
      </c>
      <c r="P116" s="16">
        <f>(AU4*Q18*T18/(AD4+AT4)/AJ103/D87)^3*10^5</f>
        <v>2.767587263999999E+17</v>
      </c>
      <c r="Q116" s="16" t="s">
        <v>306</v>
      </c>
      <c r="R116" s="16">
        <f>P116/C52/3600</f>
        <v>384387119999999.87</v>
      </c>
      <c r="S116" s="16" t="s">
        <v>100</v>
      </c>
      <c r="AP116" s="182"/>
      <c r="AQ116" s="135"/>
      <c r="AR116" s="135"/>
      <c r="AS116" s="135"/>
      <c r="AT116" s="183"/>
      <c r="AU116" s="186"/>
      <c r="AV116" s="72"/>
    </row>
    <row r="117" spans="1:48" ht="15.75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Q117" s="51"/>
      <c r="R117" s="104"/>
      <c r="AP117" s="182"/>
      <c r="AQ117" s="135"/>
      <c r="AR117" s="135"/>
      <c r="AS117" s="187"/>
      <c r="AT117" s="182"/>
      <c r="AU117" s="182"/>
      <c r="AV117" s="72"/>
    </row>
    <row r="118" spans="1:48" ht="18.75" x14ac:dyDescent="0.3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N118" s="16" t="s">
        <v>311</v>
      </c>
      <c r="AP118" s="181"/>
      <c r="AQ118" s="135"/>
      <c r="AR118" s="183"/>
      <c r="AS118" s="182"/>
      <c r="AT118" s="183"/>
      <c r="AU118" s="182"/>
      <c r="AV118" s="72"/>
    </row>
    <row r="119" spans="1:48" ht="18.75" x14ac:dyDescent="0.35">
      <c r="A119" s="17"/>
      <c r="B119" s="17"/>
      <c r="C119" s="23" t="str">
        <f>IF(OR(L257=2,L257=3),"Nominal torque",IF(L257=4,"Holding torque"," "))</f>
        <v>Nominal torque</v>
      </c>
      <c r="D119" s="128">
        <f>IF(L257=2,Q197,IF(L257=3,R168,IF(L257=4,O225," ")))</f>
        <v>2.6305973722627738</v>
      </c>
      <c r="E119" s="17" t="str">
        <f>IF(L257=2,"Nm",IF(L257=3,"Nm at max speed",IF(L257=4,"Nm"," ")))</f>
        <v>Nm</v>
      </c>
      <c r="F119" s="17"/>
      <c r="G119" s="17"/>
      <c r="H119" s="17"/>
      <c r="I119" s="17"/>
      <c r="J119" s="437"/>
      <c r="N119" s="16" t="s">
        <v>312</v>
      </c>
      <c r="P119" s="16">
        <f>(AW4/(AK103+AX4)/D87)^3*10^6</f>
        <v>195223535058276.5</v>
      </c>
      <c r="Q119" s="16" t="s">
        <v>317</v>
      </c>
      <c r="R119" s="16">
        <f>P119*BO16/1000</f>
        <v>976117675291.38245</v>
      </c>
      <c r="S119" s="16" t="s">
        <v>318</v>
      </c>
      <c r="T119" s="20">
        <f>R119/C52/3600</f>
        <v>1355718993.4602535</v>
      </c>
      <c r="U119" s="16" t="s">
        <v>100</v>
      </c>
      <c r="V119" s="117">
        <f>R119*1000/C55/2/D92/60/D93/D94</f>
        <v>2310884.6479436136</v>
      </c>
      <c r="AB119" s="104"/>
      <c r="AG119" s="104"/>
      <c r="AI119" s="20"/>
      <c r="AP119" s="181"/>
      <c r="AQ119" s="135"/>
      <c r="AR119" s="183"/>
      <c r="AS119" s="184"/>
      <c r="AT119" s="183"/>
      <c r="AU119" s="184"/>
      <c r="AV119" s="72"/>
    </row>
    <row r="120" spans="1:48" ht="15.75" x14ac:dyDescent="0.25">
      <c r="A120" s="17"/>
      <c r="B120" s="17"/>
      <c r="C120" s="23" t="str">
        <f>IF($L$257=2,"Nominal speed",IF($L$257=3,"Peak torque"," "))</f>
        <v>Nominal speed</v>
      </c>
      <c r="D120" s="157">
        <f>IF(L257=2,O197,IF(L257=3,S168," "))</f>
        <v>1370</v>
      </c>
      <c r="E120" s="417" t="str">
        <f>IF($L$257=2,"rpm",IF($L$257=3,"Nm"," "))</f>
        <v>rpm</v>
      </c>
      <c r="F120" s="17"/>
      <c r="G120" s="17"/>
      <c r="H120" s="17"/>
      <c r="I120" s="17"/>
      <c r="J120" s="437"/>
      <c r="AB120" s="104"/>
      <c r="AG120" s="104"/>
      <c r="AI120" s="20"/>
      <c r="AP120" s="185"/>
      <c r="AQ120" s="135"/>
      <c r="AR120" s="183"/>
      <c r="AS120" s="184"/>
      <c r="AT120" s="183"/>
      <c r="AU120" s="184"/>
      <c r="AV120" s="72"/>
    </row>
    <row r="121" spans="1:48" ht="15.75" x14ac:dyDescent="0.25">
      <c r="A121" s="17"/>
      <c r="B121" s="17"/>
      <c r="C121" s="23" t="str">
        <f>IF($L$257=2,"Nominal power",IF($L$257=3,"Max speed"," "))</f>
        <v>Nominal power</v>
      </c>
      <c r="D121" s="157">
        <f>IF(L257=2,P197,IF(L257=3,O168," "))</f>
        <v>0.37</v>
      </c>
      <c r="E121" s="417" t="str">
        <f>IF($L$257=2,"kW",IF($L$257=3,"rpm"," "))</f>
        <v>kW</v>
      </c>
      <c r="F121" s="17"/>
      <c r="G121" s="17"/>
      <c r="H121" s="17"/>
      <c r="I121" s="17"/>
      <c r="J121" s="437"/>
      <c r="AP121" s="181"/>
      <c r="AQ121" s="135"/>
      <c r="AR121" s="183"/>
      <c r="AS121" s="184"/>
      <c r="AT121" s="183"/>
      <c r="AU121" s="184"/>
      <c r="AV121" s="72"/>
    </row>
    <row r="122" spans="1:48" ht="18.75" x14ac:dyDescent="0.35">
      <c r="A122" s="17"/>
      <c r="B122" s="17"/>
      <c r="C122" s="23" t="str">
        <f>IF(L257=3,"Nominal power"," ")</f>
        <v xml:space="preserve"> </v>
      </c>
      <c r="D122" s="157" t="str">
        <f>IF(L257=3,P168," ")</f>
        <v xml:space="preserve"> </v>
      </c>
      <c r="E122" s="17" t="str">
        <f>IF(L257=3,"kW"," ")</f>
        <v xml:space="preserve"> </v>
      </c>
      <c r="F122" s="17"/>
      <c r="G122" s="17"/>
      <c r="H122" s="17"/>
      <c r="I122" s="17"/>
      <c r="J122" s="437"/>
      <c r="N122" s="16" t="s">
        <v>313</v>
      </c>
      <c r="P122" s="16">
        <f>(BA4/(AY4+AK103)/D87)^3*10^6</f>
        <v>59267052808.738976</v>
      </c>
      <c r="Q122" s="16" t="s">
        <v>319</v>
      </c>
      <c r="R122" s="16">
        <f>P122*BO16/1000</f>
        <v>296335264.04369491</v>
      </c>
      <c r="S122" s="16" t="s">
        <v>318</v>
      </c>
      <c r="T122" s="20">
        <f>R122/C52/3600</f>
        <v>411576.75561624288</v>
      </c>
      <c r="U122" s="16" t="s">
        <v>100</v>
      </c>
      <c r="V122" s="117">
        <f>R122*1000/C55/2/D92/60/D93/D94</f>
        <v>701.55128798223222</v>
      </c>
      <c r="AA122" s="51"/>
      <c r="AB122" s="121"/>
      <c r="AP122" s="135"/>
      <c r="AQ122" s="135"/>
      <c r="AR122" s="183"/>
      <c r="AS122" s="184"/>
      <c r="AT122" s="183"/>
      <c r="AU122" s="184"/>
      <c r="AV122" s="72"/>
    </row>
    <row r="123" spans="1:48" ht="15" x14ac:dyDescent="0.25">
      <c r="A123" s="17"/>
      <c r="B123" s="17"/>
      <c r="C123" s="439" t="str">
        <f>IF(L257=5,"Customer motor data:"," ")</f>
        <v xml:space="preserve"> </v>
      </c>
      <c r="D123" s="158" t="s">
        <v>217</v>
      </c>
      <c r="E123" s="158"/>
      <c r="F123" s="158"/>
      <c r="G123" s="158"/>
      <c r="H123" s="158"/>
      <c r="I123" s="158"/>
      <c r="J123" s="17"/>
      <c r="T123" s="117"/>
      <c r="AA123" s="51"/>
      <c r="AB123" s="121"/>
      <c r="AC123" s="16">
        <f>2*0.19*10^-4+1.35*10^-6</f>
        <v>3.9350000000000001E-5</v>
      </c>
      <c r="AP123" s="72"/>
      <c r="AQ123" s="72"/>
      <c r="AR123" s="72"/>
      <c r="AS123" s="72"/>
      <c r="AT123" s="72"/>
      <c r="AU123" s="72"/>
      <c r="AV123" s="72"/>
    </row>
    <row r="124" spans="1:48" ht="15" x14ac:dyDescent="0.25">
      <c r="A124" s="17"/>
      <c r="B124" s="17"/>
      <c r="C124" s="17"/>
      <c r="D124" s="158"/>
      <c r="E124" s="158"/>
      <c r="F124" s="158"/>
      <c r="G124" s="158"/>
      <c r="H124" s="158"/>
      <c r="I124" s="158"/>
      <c r="J124" s="17"/>
      <c r="AA124" s="51"/>
      <c r="AC124" s="16">
        <f>2*0.78*10^-4+6.7*10^-6</f>
        <v>1.6270000000000002E-4</v>
      </c>
      <c r="AG124" s="104"/>
    </row>
    <row r="125" spans="1:48" ht="15" x14ac:dyDescent="0.25">
      <c r="A125" s="17"/>
      <c r="B125" s="17"/>
      <c r="C125" s="17"/>
      <c r="D125" s="158"/>
      <c r="E125" s="158"/>
      <c r="F125" s="158"/>
      <c r="G125" s="158"/>
      <c r="H125" s="158"/>
      <c r="I125" s="158"/>
      <c r="J125" s="17"/>
      <c r="N125" s="51" t="s">
        <v>354</v>
      </c>
      <c r="O125" s="105">
        <v>0.9</v>
      </c>
      <c r="AB125" s="16">
        <f>2*4.18*10^-4+6.7*10^-6</f>
        <v>8.4269999999999994E-4</v>
      </c>
      <c r="AC125" s="16">
        <f>2*184*10^-6+15*10^-6</f>
        <v>3.8299999999999999E-4</v>
      </c>
    </row>
    <row r="126" spans="1:48" ht="15" x14ac:dyDescent="0.25">
      <c r="A126" s="17"/>
      <c r="B126" s="17"/>
      <c r="C126" s="17"/>
      <c r="D126" s="158"/>
      <c r="E126" s="158"/>
      <c r="F126" s="158"/>
      <c r="G126" s="158"/>
      <c r="H126" s="158"/>
      <c r="I126" s="158"/>
      <c r="J126" s="17"/>
    </row>
    <row r="127" spans="1:48" ht="15" x14ac:dyDescent="0.25">
      <c r="A127" s="17"/>
      <c r="B127" s="17"/>
      <c r="C127" s="23" t="str">
        <f>IF(L257=5,"Motor inertia:"," ")</f>
        <v xml:space="preserve"> </v>
      </c>
      <c r="D127" s="159">
        <v>2.9999999999999997E-4</v>
      </c>
      <c r="E127" s="303" t="str">
        <f>IF(L257=5,"kg m²"," ")</f>
        <v xml:space="preserve"> </v>
      </c>
      <c r="F127" s="441"/>
      <c r="G127" s="441"/>
      <c r="H127" s="441"/>
      <c r="I127" s="441"/>
      <c r="J127" s="17"/>
      <c r="M127" s="90"/>
      <c r="N127" s="90"/>
      <c r="O127" s="90"/>
      <c r="P127" s="90"/>
      <c r="Q127" s="90"/>
      <c r="R127" s="90"/>
      <c r="S127" s="90"/>
      <c r="T127" s="90"/>
      <c r="U127" s="466"/>
      <c r="V127" s="466"/>
      <c r="W127" s="467"/>
      <c r="X127" s="467"/>
      <c r="AC127" s="171"/>
    </row>
    <row r="128" spans="1:48" ht="15" x14ac:dyDescent="0.25">
      <c r="A128" s="17"/>
      <c r="B128" s="404"/>
      <c r="C128" s="17"/>
      <c r="D128" s="17"/>
      <c r="E128" s="17"/>
      <c r="F128" s="17"/>
      <c r="G128" s="17"/>
      <c r="H128" s="17"/>
      <c r="I128" s="17"/>
      <c r="J128" s="17"/>
      <c r="M128" s="90"/>
      <c r="N128" s="90"/>
      <c r="O128" s="242"/>
      <c r="P128" s="242"/>
      <c r="Q128" s="242"/>
      <c r="R128" s="242"/>
      <c r="S128" s="242"/>
      <c r="T128" s="242"/>
      <c r="U128" s="242"/>
      <c r="V128" s="242"/>
      <c r="W128" s="90"/>
      <c r="X128" s="90"/>
      <c r="Y128" s="16">
        <f>IF(Q4&lt;=2,2,IF(Q4=5,4,3))</f>
        <v>2</v>
      </c>
      <c r="AB128" s="139" t="s">
        <v>114</v>
      </c>
      <c r="AC128" s="171"/>
    </row>
    <row r="129" spans="1:28" ht="15" x14ac:dyDescent="0.25">
      <c r="A129" s="17"/>
      <c r="B129" s="443" t="s">
        <v>211</v>
      </c>
      <c r="C129" s="17"/>
      <c r="D129" s="17"/>
      <c r="E129" s="17"/>
      <c r="F129" s="17"/>
      <c r="G129" s="17"/>
      <c r="H129" s="17"/>
      <c r="I129" s="17"/>
      <c r="J129" s="17"/>
      <c r="M129" s="252"/>
      <c r="N129" s="90"/>
      <c r="O129" s="90"/>
      <c r="P129" s="90"/>
      <c r="Q129" s="90"/>
      <c r="R129" s="90"/>
      <c r="S129" s="90"/>
      <c r="T129" s="90"/>
      <c r="U129" s="90"/>
      <c r="V129" s="242"/>
      <c r="W129" s="90"/>
      <c r="X129" s="90"/>
      <c r="AA129" s="16" t="str">
        <f>VLOOKUP(Y128,Z130:AB133,2)</f>
        <v>GS19</v>
      </c>
      <c r="AB129" s="16">
        <f>VLOOKUP(Y128,Z130:AB133,3)</f>
        <v>3.8999999999999999E-5</v>
      </c>
    </row>
    <row r="130" spans="1:28" ht="15" x14ac:dyDescent="0.25">
      <c r="A130" s="17"/>
      <c r="B130" s="17"/>
      <c r="C130" s="23" t="s">
        <v>213</v>
      </c>
      <c r="D130" s="136">
        <f>Z145</f>
        <v>0.88476312556483794</v>
      </c>
      <c r="E130" s="17" t="s">
        <v>27</v>
      </c>
      <c r="F130" s="17"/>
      <c r="G130" s="17"/>
      <c r="H130" s="17"/>
      <c r="I130" s="17"/>
      <c r="J130" s="17"/>
      <c r="L130" s="51" t="str">
        <f t="shared" ref="L130:P131" si="4">BI29</f>
        <v>Idle torque at</v>
      </c>
      <c r="M130" s="16">
        <f t="shared" si="4"/>
        <v>150</v>
      </c>
      <c r="N130" s="16">
        <f t="shared" si="4"/>
        <v>1500</v>
      </c>
      <c r="O130" s="16">
        <f t="shared" si="4"/>
        <v>3000</v>
      </c>
      <c r="P130" s="16" t="str">
        <f t="shared" si="4"/>
        <v>rpm</v>
      </c>
      <c r="Q130" s="90"/>
      <c r="R130" s="90"/>
      <c r="S130" s="90"/>
      <c r="T130" s="90"/>
      <c r="U130" s="90"/>
      <c r="V130" s="90"/>
      <c r="W130" s="90"/>
      <c r="X130" s="90"/>
      <c r="Z130" s="16">
        <v>1</v>
      </c>
      <c r="AA130" s="16" t="s">
        <v>192</v>
      </c>
      <c r="AB130" s="16">
        <f>0.0000065</f>
        <v>6.4999999999999996E-6</v>
      </c>
    </row>
    <row r="131" spans="1:28" ht="15" x14ac:dyDescent="0.25">
      <c r="A131" s="17"/>
      <c r="B131" s="17"/>
      <c r="C131" s="23" t="s">
        <v>214</v>
      </c>
      <c r="D131" s="136">
        <f>Z146</f>
        <v>1.0188915234939973</v>
      </c>
      <c r="E131" s="17" t="s">
        <v>27</v>
      </c>
      <c r="F131" s="17"/>
      <c r="G131" s="17"/>
      <c r="H131" s="17"/>
      <c r="I131" s="17"/>
      <c r="J131" s="17"/>
      <c r="L131" s="51">
        <f t="shared" si="4"/>
        <v>0</v>
      </c>
      <c r="M131" s="16">
        <f t="shared" si="4"/>
        <v>0.7</v>
      </c>
      <c r="N131" s="16">
        <f t="shared" si="4"/>
        <v>1.1000000000000001</v>
      </c>
      <c r="O131" s="16">
        <f t="shared" si="4"/>
        <v>1.5</v>
      </c>
      <c r="P131" s="16" t="str">
        <f t="shared" si="4"/>
        <v>Nm</v>
      </c>
      <c r="Q131" s="90"/>
      <c r="R131" s="90"/>
      <c r="S131" s="90"/>
      <c r="T131" s="90"/>
      <c r="U131" s="90"/>
      <c r="V131" s="90"/>
      <c r="W131" s="90"/>
      <c r="X131" s="90"/>
      <c r="Y131" s="16" t="s">
        <v>360</v>
      </c>
      <c r="Z131" s="16">
        <v>2</v>
      </c>
      <c r="AA131" s="16" t="s">
        <v>193</v>
      </c>
      <c r="AB131" s="254">
        <v>3.8999999999999999E-5</v>
      </c>
    </row>
    <row r="132" spans="1:28" ht="15" x14ac:dyDescent="0.25">
      <c r="A132" s="17"/>
      <c r="B132" s="17"/>
      <c r="C132" s="23" t="s">
        <v>215</v>
      </c>
      <c r="D132" s="136">
        <f>D130*D134/9550</f>
        <v>0.22234884830948806</v>
      </c>
      <c r="E132" s="17" t="s">
        <v>132</v>
      </c>
      <c r="F132" s="17"/>
      <c r="G132" s="17"/>
      <c r="H132" s="17"/>
      <c r="I132" s="17"/>
      <c r="J132" s="17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16" t="s">
        <v>361</v>
      </c>
      <c r="Z132" s="16">
        <v>3</v>
      </c>
      <c r="AA132" s="16" t="s">
        <v>194</v>
      </c>
      <c r="AB132" s="16">
        <v>1.63E-4</v>
      </c>
    </row>
    <row r="133" spans="1:28" ht="15" x14ac:dyDescent="0.25">
      <c r="A133" s="17"/>
      <c r="B133" s="17"/>
      <c r="C133" s="23" t="s">
        <v>216</v>
      </c>
      <c r="D133" s="136">
        <f>D131*D134/9550</f>
        <v>0.2560565085220517</v>
      </c>
      <c r="E133" s="17" t="s">
        <v>132</v>
      </c>
      <c r="F133" s="164">
        <f>D134/D120*50</f>
        <v>87.591240875912419</v>
      </c>
      <c r="G133" s="17" t="str">
        <f>IF(L257=2,"Hz"," ")</f>
        <v>Hz</v>
      </c>
      <c r="H133" s="17"/>
      <c r="I133" s="17"/>
      <c r="J133" s="17"/>
      <c r="L133" s="16" t="s">
        <v>110</v>
      </c>
      <c r="N133" s="129">
        <f>IF(R112&lt;=150,M131,IF(AND(R112&gt;150,R112&lt;=1500),M131+(R112-150)/1350*(N131-M131),N131+(R112-1500)/(Q129-1500)*(O131-N131)))</f>
        <v>0.8600000000000001</v>
      </c>
      <c r="O133" s="16" t="s">
        <v>111</v>
      </c>
      <c r="Y133" s="16" t="s">
        <v>362</v>
      </c>
      <c r="Z133" s="16">
        <v>4</v>
      </c>
      <c r="AA133" s="16" t="s">
        <v>359</v>
      </c>
      <c r="AB133" s="16">
        <v>3.8000000000000002E-4</v>
      </c>
    </row>
    <row r="134" spans="1:28" ht="15" x14ac:dyDescent="0.25">
      <c r="A134" s="17"/>
      <c r="B134" s="17"/>
      <c r="C134" s="23" t="s">
        <v>212</v>
      </c>
      <c r="D134" s="125">
        <f>U112</f>
        <v>2400</v>
      </c>
      <c r="E134" s="17" t="s">
        <v>129</v>
      </c>
      <c r="F134" s="17"/>
      <c r="G134" s="17"/>
      <c r="H134" s="17"/>
      <c r="I134" s="17"/>
      <c r="J134" s="17"/>
      <c r="N134" s="129">
        <f>(S13-1)*AP4*BO16/2/1000/PI()/0.9</f>
        <v>0</v>
      </c>
      <c r="O134" s="16" t="s">
        <v>112</v>
      </c>
    </row>
    <row r="135" spans="1:28" ht="15" x14ac:dyDescent="0.25">
      <c r="A135" s="17"/>
      <c r="B135" s="17"/>
      <c r="C135" s="23" t="s">
        <v>209</v>
      </c>
      <c r="D135" s="128">
        <f>R161</f>
        <v>1.3183966140713144</v>
      </c>
      <c r="E135" s="17"/>
      <c r="F135" s="17"/>
      <c r="G135" s="17"/>
      <c r="H135" s="17"/>
      <c r="I135" s="17"/>
      <c r="J135" s="17"/>
      <c r="M135" s="16" t="s">
        <v>69</v>
      </c>
      <c r="N135" s="129">
        <f>(N134+N133)*Q18</f>
        <v>0.8600000000000001</v>
      </c>
      <c r="O135" s="16" t="s">
        <v>347</v>
      </c>
    </row>
    <row r="136" spans="1:28" x14ac:dyDescent="0.2">
      <c r="A136" s="17"/>
      <c r="B136" s="17"/>
      <c r="C136" s="17"/>
      <c r="D136" s="17"/>
      <c r="E136" s="17"/>
      <c r="F136" s="17"/>
      <c r="G136" s="17"/>
      <c r="H136" s="17"/>
      <c r="I136" s="17"/>
      <c r="J136" s="17"/>
    </row>
    <row r="137" spans="1:28" ht="15" x14ac:dyDescent="0.25">
      <c r="A137" s="166" t="s">
        <v>218</v>
      </c>
      <c r="B137" s="167"/>
      <c r="C137" s="167"/>
      <c r="D137" s="167"/>
      <c r="E137" s="167"/>
      <c r="F137" s="167"/>
      <c r="G137" s="167"/>
      <c r="H137" s="167"/>
      <c r="I137" s="167"/>
      <c r="J137" s="167"/>
    </row>
    <row r="138" spans="1:28" x14ac:dyDescent="0.2">
      <c r="A138" s="167"/>
      <c r="B138" s="167"/>
      <c r="C138" s="167"/>
      <c r="D138" s="167"/>
      <c r="E138" s="167"/>
      <c r="F138" s="167"/>
      <c r="G138" s="167"/>
      <c r="H138" s="167"/>
      <c r="I138" s="167"/>
      <c r="J138" s="167"/>
    </row>
    <row r="139" spans="1:28" x14ac:dyDescent="0.2">
      <c r="A139" s="167"/>
      <c r="B139" s="167"/>
      <c r="C139" s="167"/>
      <c r="D139" s="167"/>
      <c r="E139" s="167"/>
      <c r="F139" s="167"/>
      <c r="G139" s="167"/>
      <c r="H139" s="167"/>
      <c r="I139" s="167"/>
      <c r="J139" s="167"/>
    </row>
    <row r="140" spans="1:28" x14ac:dyDescent="0.2">
      <c r="A140" s="167"/>
      <c r="B140" s="167"/>
      <c r="C140" s="167"/>
      <c r="D140" s="167"/>
      <c r="E140" s="167"/>
      <c r="F140" s="167"/>
      <c r="G140" s="167"/>
      <c r="H140" s="167"/>
      <c r="I140" s="167"/>
      <c r="J140" s="167"/>
    </row>
    <row r="141" spans="1:28" x14ac:dyDescent="0.2">
      <c r="A141" s="167"/>
      <c r="B141" s="167"/>
      <c r="C141" s="167"/>
      <c r="D141" s="167"/>
      <c r="E141" s="167"/>
      <c r="F141" s="167"/>
      <c r="G141" s="167"/>
      <c r="H141" s="167"/>
      <c r="I141" s="167"/>
      <c r="J141" s="167"/>
    </row>
    <row r="142" spans="1:28" x14ac:dyDescent="0.2">
      <c r="A142" s="167"/>
      <c r="B142" s="167"/>
      <c r="C142" s="167"/>
      <c r="D142" s="167"/>
      <c r="E142" s="167"/>
      <c r="F142" s="167"/>
      <c r="G142" s="167"/>
      <c r="H142" s="167"/>
      <c r="I142" s="167"/>
      <c r="J142" s="167"/>
    </row>
    <row r="143" spans="1:28" x14ac:dyDescent="0.2">
      <c r="A143" s="167"/>
      <c r="B143" s="167"/>
      <c r="C143" s="167"/>
      <c r="D143" s="167"/>
      <c r="E143" s="167"/>
      <c r="F143" s="167"/>
      <c r="G143" s="168"/>
      <c r="H143" s="168"/>
      <c r="I143" s="168"/>
      <c r="J143" s="168"/>
    </row>
    <row r="144" spans="1:28" ht="15" x14ac:dyDescent="0.25">
      <c r="A144" s="167"/>
      <c r="B144" s="167"/>
      <c r="C144" s="167"/>
      <c r="D144" s="167"/>
      <c r="E144" s="167"/>
      <c r="F144" s="167"/>
      <c r="G144" s="168"/>
      <c r="H144" s="165"/>
      <c r="I144" s="169"/>
      <c r="J144" s="169"/>
    </row>
    <row r="145" spans="1:32" ht="15" x14ac:dyDescent="0.25">
      <c r="A145" s="167"/>
      <c r="B145" s="167"/>
      <c r="C145" s="167"/>
      <c r="D145" s="167"/>
      <c r="E145" s="167"/>
      <c r="F145" s="167"/>
      <c r="G145" s="168"/>
      <c r="H145" s="165"/>
      <c r="I145" s="169"/>
      <c r="J145" s="169"/>
      <c r="L145" s="16" t="s">
        <v>117</v>
      </c>
      <c r="P145" s="16">
        <f>N135+AM103*BO16/2/1000/O125/PI()</f>
        <v>0.87591549430918958</v>
      </c>
      <c r="Q145" s="16" t="s">
        <v>27</v>
      </c>
      <c r="V145" s="16" t="s">
        <v>204</v>
      </c>
      <c r="Z145" s="16">
        <f>IF(L253=1,P145/0.99,P145/D111/D112+D113)</f>
        <v>0.88476312556483794</v>
      </c>
      <c r="AA145" s="16" t="s">
        <v>27</v>
      </c>
      <c r="AC145" s="50" t="s">
        <v>210</v>
      </c>
    </row>
    <row r="146" spans="1:32" ht="15" x14ac:dyDescent="0.25">
      <c r="A146" s="167"/>
      <c r="B146" s="167"/>
      <c r="C146" s="167"/>
      <c r="D146" s="167"/>
      <c r="E146" s="167"/>
      <c r="F146" s="167"/>
      <c r="G146" s="168"/>
      <c r="H146" s="165"/>
      <c r="I146" s="169"/>
      <c r="J146" s="169"/>
      <c r="L146" s="16" t="s">
        <v>118</v>
      </c>
      <c r="P146" s="16">
        <f>N135+AN103*BO16/2/1000/O125/PI()+Q18*BC4*G19/1000*PI()*R112/30/C52*C53</f>
        <v>0.90343227953456795</v>
      </c>
      <c r="Q146" s="16" t="s">
        <v>355</v>
      </c>
      <c r="V146" s="16" t="s">
        <v>206</v>
      </c>
      <c r="Z146" s="163">
        <f>AC155+Z145</f>
        <v>1.0188915234939973</v>
      </c>
      <c r="AA146" s="16" t="s">
        <v>207</v>
      </c>
    </row>
    <row r="147" spans="1:32" ht="15" x14ac:dyDescent="0.25">
      <c r="A147" s="167"/>
      <c r="B147" s="167"/>
      <c r="C147" s="167"/>
      <c r="D147" s="167"/>
      <c r="E147" s="167"/>
      <c r="F147" s="167"/>
      <c r="G147" s="168"/>
      <c r="H147" s="170"/>
      <c r="I147" s="169"/>
      <c r="J147" s="169"/>
    </row>
    <row r="148" spans="1:32" x14ac:dyDescent="0.2">
      <c r="A148" s="167"/>
      <c r="B148" s="167"/>
      <c r="C148" s="167"/>
      <c r="D148" s="167"/>
      <c r="E148" s="167"/>
      <c r="F148" s="167"/>
      <c r="G148" s="168"/>
      <c r="H148" s="168"/>
      <c r="I148" s="168"/>
      <c r="J148" s="168"/>
    </row>
    <row r="149" spans="1:32" hidden="1" x14ac:dyDescent="0.2">
      <c r="P149" s="16">
        <f>P146-P145</f>
        <v>2.7516785225378371E-2</v>
      </c>
      <c r="AF149" s="111">
        <v>1</v>
      </c>
    </row>
    <row r="150" spans="1:32" ht="15" hidden="1" x14ac:dyDescent="0.25">
      <c r="AA150" s="139" t="s">
        <v>99</v>
      </c>
      <c r="AB150" s="139"/>
      <c r="AC150" s="139" t="s">
        <v>203</v>
      </c>
      <c r="AF150" t="s">
        <v>222</v>
      </c>
    </row>
    <row r="151" spans="1:32" ht="15.75" hidden="1" x14ac:dyDescent="0.25">
      <c r="L151" s="16" t="s">
        <v>356</v>
      </c>
      <c r="Q151" s="16" t="s">
        <v>113</v>
      </c>
      <c r="T151" s="16">
        <f>(C49+AM4*S13*Q18)*(C52*60/2/PI()/R112)^2</f>
        <v>6.3325739776461111E-7</v>
      </c>
      <c r="U151" s="16" t="s">
        <v>114</v>
      </c>
      <c r="AA151" s="139" t="s">
        <v>202</v>
      </c>
      <c r="AB151" s="139"/>
      <c r="AC151" s="139" t="s">
        <v>202</v>
      </c>
      <c r="AF151" t="s">
        <v>225</v>
      </c>
    </row>
    <row r="152" spans="1:32" ht="15" hidden="1" x14ac:dyDescent="0.25">
      <c r="L152" s="16" t="s">
        <v>357</v>
      </c>
      <c r="T152" s="134">
        <f>BC4*G19/1000*Q18</f>
        <v>2.18268E-4</v>
      </c>
      <c r="U152" s="16" t="s">
        <v>114</v>
      </c>
      <c r="Y152" s="137" t="s">
        <v>126</v>
      </c>
      <c r="Z152"/>
      <c r="AA152" s="160">
        <f>S154</f>
        <v>2.1890125739776461E-4</v>
      </c>
      <c r="AB152" s="138" t="s">
        <v>127</v>
      </c>
      <c r="AC152" s="160">
        <f>IF(L253=1,S154+T156+T158,(S154+T156)/D111^2/D112+T157+T158)</f>
        <v>1.0679012573977646E-3</v>
      </c>
      <c r="AD152" s="138" t="s">
        <v>127</v>
      </c>
      <c r="AF152" t="s">
        <v>367</v>
      </c>
    </row>
    <row r="153" spans="1:32" ht="15" hidden="1" x14ac:dyDescent="0.25">
      <c r="Y153" s="137" t="s">
        <v>128</v>
      </c>
      <c r="Z153"/>
      <c r="AA153" s="161">
        <f>R112</f>
        <v>2400</v>
      </c>
      <c r="AB153" s="138" t="s">
        <v>129</v>
      </c>
      <c r="AC153" s="161">
        <f>U112</f>
        <v>2400</v>
      </c>
      <c r="AD153" s="138" t="s">
        <v>129</v>
      </c>
      <c r="AF153" t="s">
        <v>368</v>
      </c>
    </row>
    <row r="154" spans="1:32" ht="15" hidden="1" x14ac:dyDescent="0.25">
      <c r="S154" s="16">
        <f>SUM(T151:T152)</f>
        <v>2.1890125739776461E-4</v>
      </c>
      <c r="Y154" s="137" t="s">
        <v>130</v>
      </c>
      <c r="Z154"/>
      <c r="AA154" s="160">
        <f>C52/C53</f>
        <v>2</v>
      </c>
      <c r="AB154" s="138" t="s">
        <v>52</v>
      </c>
      <c r="AC154" s="160">
        <f>AA154</f>
        <v>2</v>
      </c>
      <c r="AD154" s="138" t="s">
        <v>52</v>
      </c>
      <c r="AF154" t="s">
        <v>369</v>
      </c>
    </row>
    <row r="155" spans="1:32" ht="15" hidden="1" x14ac:dyDescent="0.25">
      <c r="Y155"/>
      <c r="Z155"/>
      <c r="AA155" s="162">
        <f>AA152*3.14*AA153/30/AA154</f>
        <v>2.7493997929159235E-2</v>
      </c>
      <c r="AB155" s="138" t="s">
        <v>27</v>
      </c>
      <c r="AC155" s="162">
        <f>AC152*3.14*AC153/30/AC154</f>
        <v>0.13412839792915923</v>
      </c>
      <c r="AD155" s="138" t="s">
        <v>27</v>
      </c>
      <c r="AF155" t="s">
        <v>224</v>
      </c>
    </row>
    <row r="156" spans="1:32" hidden="1" x14ac:dyDescent="0.2">
      <c r="L156" s="16" t="s">
        <v>198</v>
      </c>
      <c r="T156" s="16">
        <f>AB129*Q18</f>
        <v>3.8999999999999999E-5</v>
      </c>
    </row>
    <row r="157" spans="1:32" hidden="1" x14ac:dyDescent="0.2">
      <c r="L157" s="16" t="s">
        <v>199</v>
      </c>
      <c r="T157" s="16">
        <f>IF(L253=2,D114,0)</f>
        <v>0</v>
      </c>
    </row>
    <row r="158" spans="1:32" hidden="1" x14ac:dyDescent="0.2">
      <c r="L158" s="16" t="s">
        <v>200</v>
      </c>
      <c r="T158" s="16">
        <f>IF(L257=1,0,IF(L257=2,R197,IF(L257=3,V168,IF(L257=4,P225,IF(L257=5,D127,0)))))</f>
        <v>8.0999999999999996E-4</v>
      </c>
    </row>
    <row r="159" spans="1:32" hidden="1" x14ac:dyDescent="0.2"/>
    <row r="160" spans="1:32" hidden="1" x14ac:dyDescent="0.2">
      <c r="M160" s="16" t="s">
        <v>208</v>
      </c>
      <c r="S160" s="16">
        <f>(S154+T156)/IF(L253=1,1,D111^2)+T157+T158</f>
        <v>1.0679012573977646E-3</v>
      </c>
    </row>
    <row r="161" spans="12:25" hidden="1" x14ac:dyDescent="0.2">
      <c r="M161" s="16" t="s">
        <v>209</v>
      </c>
      <c r="R161" s="16">
        <f>S160/T158</f>
        <v>1.3183966140713144</v>
      </c>
    </row>
    <row r="162" spans="12:25" hidden="1" x14ac:dyDescent="0.2"/>
    <row r="163" spans="12:25" hidden="1" x14ac:dyDescent="0.2"/>
    <row r="164" spans="12:25" hidden="1" x14ac:dyDescent="0.2"/>
    <row r="165" spans="12:25" hidden="1" x14ac:dyDescent="0.2">
      <c r="L165" s="139">
        <v>1</v>
      </c>
      <c r="M165" s="139">
        <v>2</v>
      </c>
      <c r="N165" s="139">
        <v>3</v>
      </c>
      <c r="O165" s="139">
        <v>4</v>
      </c>
      <c r="P165" s="139">
        <v>5</v>
      </c>
      <c r="Q165" s="139">
        <v>6</v>
      </c>
      <c r="R165" s="139">
        <v>7</v>
      </c>
      <c r="S165" s="139">
        <v>8</v>
      </c>
      <c r="T165" s="139">
        <v>9</v>
      </c>
      <c r="U165" s="139">
        <v>10</v>
      </c>
      <c r="V165" s="139">
        <v>11</v>
      </c>
      <c r="W165" s="139">
        <v>12</v>
      </c>
      <c r="X165" s="139">
        <v>13</v>
      </c>
      <c r="Y165" s="139">
        <v>14</v>
      </c>
    </row>
    <row r="166" spans="12:25" hidden="1" x14ac:dyDescent="0.2"/>
    <row r="167" spans="12:25" ht="15" hidden="1" x14ac:dyDescent="0.25">
      <c r="M167" s="140" t="s">
        <v>189</v>
      </c>
      <c r="N167" s="140"/>
      <c r="O167" s="140" t="s">
        <v>131</v>
      </c>
      <c r="P167" s="141" t="s">
        <v>132</v>
      </c>
      <c r="Q167" s="141" t="s">
        <v>133</v>
      </c>
      <c r="R167" s="140" t="s">
        <v>134</v>
      </c>
      <c r="S167" s="140" t="s">
        <v>135</v>
      </c>
      <c r="T167" s="141" t="s">
        <v>126</v>
      </c>
      <c r="U167" s="140" t="s">
        <v>136</v>
      </c>
      <c r="V167" s="140"/>
      <c r="W167" s="141" t="s">
        <v>137</v>
      </c>
      <c r="X167" s="141" t="s">
        <v>138</v>
      </c>
      <c r="Y167" s="141" t="s">
        <v>139</v>
      </c>
    </row>
    <row r="168" spans="12:25" ht="15" hidden="1" x14ac:dyDescent="0.25">
      <c r="L168" s="140"/>
      <c r="M168" s="156" t="str">
        <f>VLOOKUP($L$265,$L$169:M192,M$165)</f>
        <v>AKM44G</v>
      </c>
      <c r="N168" s="156">
        <f>VLOOKUP($L$265,$L$169:N192,N165)</f>
        <v>0</v>
      </c>
      <c r="O168" s="156">
        <f>VLOOKUP($L$265,$L$169:O192,O165)</f>
        <v>4000</v>
      </c>
      <c r="P168" s="156">
        <f>VLOOKUP($L$265,$L$169:P192,P165)</f>
        <v>1.57</v>
      </c>
      <c r="Q168" s="156">
        <f>VLOOKUP($L$265,$L$169:Q192,Q165)</f>
        <v>5.88</v>
      </c>
      <c r="R168" s="156">
        <f>VLOOKUP($L$265,$L$169:R192,R165)</f>
        <v>3.76</v>
      </c>
      <c r="S168" s="156">
        <f>VLOOKUP($L$265,$L$169:S192,S165)</f>
        <v>20.2</v>
      </c>
      <c r="T168" s="156">
        <f>VLOOKUP($L$265,$L$169:T192,T165)</f>
        <v>2.7E-4</v>
      </c>
      <c r="U168" s="156">
        <f>VLOOKUP($L$265,$L$169:U192,U165)</f>
        <v>6.8000000000000001E-6</v>
      </c>
      <c r="V168" s="156">
        <f>VLOOKUP($L$265,$L$169:V192,V165)</f>
        <v>2.7680000000000001E-4</v>
      </c>
      <c r="W168" s="156">
        <f>VLOOKUP($L$265,$L$169:W192,W165)</f>
        <v>1.19</v>
      </c>
      <c r="X168" s="156">
        <f>VLOOKUP($L$265,$L$169:X192,X165)</f>
        <v>76.599999999999994</v>
      </c>
      <c r="Y168" s="156">
        <f>VLOOKUP($L$265,$L$169:Y192,Y165)</f>
        <v>2.65</v>
      </c>
    </row>
    <row r="169" spans="12:25" ht="15" hidden="1" x14ac:dyDescent="0.25">
      <c r="L169" s="141">
        <v>1</v>
      </c>
      <c r="M169" s="140" t="s">
        <v>140</v>
      </c>
      <c r="N169" s="140"/>
      <c r="O169" s="141">
        <v>5000</v>
      </c>
      <c r="P169" s="141">
        <v>0.52</v>
      </c>
      <c r="Q169" s="141">
        <v>1.1499999999999999</v>
      </c>
      <c r="R169" s="141">
        <v>1</v>
      </c>
      <c r="S169" s="141">
        <v>3.88</v>
      </c>
      <c r="T169" s="141">
        <v>3.3000000000000003E-5</v>
      </c>
      <c r="U169" s="141">
        <v>1.1999999999999999E-6</v>
      </c>
      <c r="V169" s="141">
        <f t="shared" ref="V169:V183" si="5">IF($O$257=2,T169+U169,T169)</f>
        <v>3.4200000000000005E-5</v>
      </c>
      <c r="W169" s="141">
        <v>0.85</v>
      </c>
      <c r="X169" s="141">
        <v>54.5</v>
      </c>
      <c r="Y169" s="141">
        <v>21.4</v>
      </c>
    </row>
    <row r="170" spans="12:25" ht="15" hidden="1" x14ac:dyDescent="0.25">
      <c r="L170" s="141">
        <v>2</v>
      </c>
      <c r="M170" s="140" t="s">
        <v>141</v>
      </c>
      <c r="N170" s="140"/>
      <c r="O170" s="141">
        <v>3000</v>
      </c>
      <c r="P170" s="141">
        <v>0.57999999999999996</v>
      </c>
      <c r="Q170" s="141">
        <v>2</v>
      </c>
      <c r="R170" s="141">
        <v>1.86</v>
      </c>
      <c r="S170" s="141">
        <v>6.92</v>
      </c>
      <c r="T170" s="141">
        <v>5.8999999999999998E-5</v>
      </c>
      <c r="U170" s="141">
        <v>1.1999999999999999E-6</v>
      </c>
      <c r="V170" s="141">
        <f t="shared" si="5"/>
        <v>6.02E-5</v>
      </c>
      <c r="W170" s="141">
        <v>1.4</v>
      </c>
      <c r="X170" s="141">
        <v>89.8</v>
      </c>
      <c r="Y170" s="141">
        <v>23</v>
      </c>
    </row>
    <row r="171" spans="12:25" ht="15" hidden="1" x14ac:dyDescent="0.25">
      <c r="L171" s="141">
        <v>3</v>
      </c>
      <c r="M171" s="140" t="s">
        <v>142</v>
      </c>
      <c r="N171" s="140"/>
      <c r="O171" s="141">
        <v>4500</v>
      </c>
      <c r="P171" s="141">
        <v>1.1000000000000001</v>
      </c>
      <c r="Q171" s="141">
        <v>2.79</v>
      </c>
      <c r="R171" s="141">
        <v>2.34</v>
      </c>
      <c r="S171" s="141">
        <v>9.9600000000000009</v>
      </c>
      <c r="T171" s="142">
        <v>8.5000000000000006E-5</v>
      </c>
      <c r="U171" s="141">
        <v>1.1999999999999999E-6</v>
      </c>
      <c r="V171" s="141">
        <f t="shared" si="5"/>
        <v>8.6200000000000008E-5</v>
      </c>
      <c r="W171" s="141">
        <v>1.1000000000000001</v>
      </c>
      <c r="X171" s="141">
        <v>70.599999999999994</v>
      </c>
      <c r="Y171" s="141">
        <v>8.36</v>
      </c>
    </row>
    <row r="172" spans="12:25" ht="15" hidden="1" x14ac:dyDescent="0.25">
      <c r="L172" s="141">
        <v>4</v>
      </c>
      <c r="M172" s="140" t="s">
        <v>143</v>
      </c>
      <c r="N172" s="140"/>
      <c r="O172" s="141">
        <v>3000</v>
      </c>
      <c r="P172" s="141">
        <v>0.56000000000000005</v>
      </c>
      <c r="Q172" s="141">
        <v>1.95</v>
      </c>
      <c r="R172" s="141">
        <v>1.77</v>
      </c>
      <c r="S172" s="141">
        <v>6.12</v>
      </c>
      <c r="T172" s="141">
        <v>8.1000000000000004E-5</v>
      </c>
      <c r="U172" s="141">
        <v>6.8000000000000001E-6</v>
      </c>
      <c r="V172" s="141">
        <f t="shared" si="5"/>
        <v>8.7800000000000006E-5</v>
      </c>
      <c r="W172" s="141">
        <v>1.34</v>
      </c>
      <c r="X172" s="141">
        <v>86.3</v>
      </c>
      <c r="Y172" s="141">
        <v>21.7</v>
      </c>
    </row>
    <row r="173" spans="12:25" ht="15" hidden="1" x14ac:dyDescent="0.25">
      <c r="L173" s="141">
        <v>5</v>
      </c>
      <c r="M173" s="140" t="s">
        <v>144</v>
      </c>
      <c r="N173" s="140"/>
      <c r="O173" s="141">
        <v>3500</v>
      </c>
      <c r="P173" s="141">
        <v>1.03</v>
      </c>
      <c r="Q173" s="141">
        <v>3.42</v>
      </c>
      <c r="R173" s="141">
        <v>2.81</v>
      </c>
      <c r="S173" s="141">
        <v>11.3</v>
      </c>
      <c r="T173" s="141">
        <v>1.4999999999999999E-4</v>
      </c>
      <c r="U173" s="141">
        <v>6.8000000000000001E-6</v>
      </c>
      <c r="V173" s="141">
        <f t="shared" si="5"/>
        <v>1.5679999999999999E-4</v>
      </c>
      <c r="W173" s="141">
        <v>1.26</v>
      </c>
      <c r="X173" s="141">
        <v>80.900000000000006</v>
      </c>
      <c r="Y173" s="141">
        <v>7.22</v>
      </c>
    </row>
    <row r="174" spans="12:25" ht="15" hidden="1" x14ac:dyDescent="0.25">
      <c r="L174" s="141">
        <v>6</v>
      </c>
      <c r="M174" s="140" t="s">
        <v>145</v>
      </c>
      <c r="N174" s="140"/>
      <c r="O174" s="141">
        <v>2500</v>
      </c>
      <c r="P174" s="141">
        <v>1.03</v>
      </c>
      <c r="Q174" s="141">
        <v>4.7</v>
      </c>
      <c r="R174" s="141">
        <v>3.92</v>
      </c>
      <c r="S174" s="141">
        <v>15.9</v>
      </c>
      <c r="T174" s="141">
        <v>2.1000000000000001E-4</v>
      </c>
      <c r="U174" s="141">
        <v>6.8000000000000001E-6</v>
      </c>
      <c r="V174" s="141">
        <f t="shared" si="5"/>
        <v>2.1680000000000001E-4</v>
      </c>
      <c r="W174" s="141">
        <v>1.72</v>
      </c>
      <c r="X174" s="141">
        <v>111</v>
      </c>
      <c r="Y174" s="141">
        <v>8.0399999999999991</v>
      </c>
    </row>
    <row r="175" spans="12:25" ht="15" hidden="1" x14ac:dyDescent="0.25">
      <c r="L175" s="141">
        <v>7</v>
      </c>
      <c r="M175" s="140" t="s">
        <v>146</v>
      </c>
      <c r="N175" s="140"/>
      <c r="O175" s="141">
        <v>4000</v>
      </c>
      <c r="P175" s="141">
        <v>1.57</v>
      </c>
      <c r="Q175" s="141">
        <v>5.88</v>
      </c>
      <c r="R175" s="141">
        <v>3.76</v>
      </c>
      <c r="S175" s="141">
        <v>20.2</v>
      </c>
      <c r="T175" s="141">
        <v>2.7E-4</v>
      </c>
      <c r="U175" s="141">
        <v>6.8000000000000001E-6</v>
      </c>
      <c r="V175" s="141">
        <f t="shared" si="5"/>
        <v>2.7680000000000001E-4</v>
      </c>
      <c r="W175" s="141">
        <v>1.19</v>
      </c>
      <c r="X175" s="141">
        <v>76.599999999999994</v>
      </c>
      <c r="Y175" s="141">
        <v>2.65</v>
      </c>
    </row>
    <row r="176" spans="12:25" ht="15" hidden="1" x14ac:dyDescent="0.25">
      <c r="L176" s="141">
        <v>8</v>
      </c>
      <c r="M176" s="140" t="s">
        <v>147</v>
      </c>
      <c r="N176" s="140"/>
      <c r="O176" s="141">
        <v>2500</v>
      </c>
      <c r="P176" s="141">
        <v>1.04</v>
      </c>
      <c r="Q176" s="141">
        <v>4.7</v>
      </c>
      <c r="R176" s="141">
        <v>3.98</v>
      </c>
      <c r="S176" s="141">
        <v>11.6</v>
      </c>
      <c r="T176" s="141">
        <v>3.4000000000000002E-4</v>
      </c>
      <c r="U176" s="141">
        <v>1.7E-5</v>
      </c>
      <c r="V176" s="141">
        <f t="shared" si="5"/>
        <v>3.57E-4</v>
      </c>
      <c r="W176" s="141">
        <v>1.72</v>
      </c>
      <c r="X176" s="141">
        <v>110</v>
      </c>
      <c r="Y176" s="141">
        <v>8.4700000000000006</v>
      </c>
    </row>
    <row r="177" spans="12:25" ht="15" hidden="1" x14ac:dyDescent="0.25">
      <c r="L177" s="141">
        <v>9</v>
      </c>
      <c r="M177" s="140" t="s">
        <v>148</v>
      </c>
      <c r="N177" s="140"/>
      <c r="O177" s="141">
        <v>2500</v>
      </c>
      <c r="P177" s="141">
        <v>1.85</v>
      </c>
      <c r="Q177" s="141">
        <v>8.43</v>
      </c>
      <c r="R177" s="141">
        <v>7.06</v>
      </c>
      <c r="S177" s="141">
        <v>21.5</v>
      </c>
      <c r="T177" s="141">
        <v>6.2E-4</v>
      </c>
      <c r="U177" s="141">
        <v>1.7E-5</v>
      </c>
      <c r="V177" s="141">
        <f t="shared" si="5"/>
        <v>6.3699999999999998E-4</v>
      </c>
      <c r="W177" s="141">
        <v>1.79</v>
      </c>
      <c r="X177" s="141">
        <v>115</v>
      </c>
      <c r="Y177" s="141">
        <v>3.47</v>
      </c>
    </row>
    <row r="178" spans="12:25" ht="15" hidden="1" x14ac:dyDescent="0.25">
      <c r="L178" s="141">
        <v>10</v>
      </c>
      <c r="M178" s="140" t="s">
        <v>149</v>
      </c>
      <c r="N178" s="140"/>
      <c r="O178" s="141">
        <v>4000</v>
      </c>
      <c r="P178" s="141">
        <v>3.2</v>
      </c>
      <c r="Q178" s="141">
        <v>11.6</v>
      </c>
      <c r="R178" s="141">
        <v>7.65</v>
      </c>
      <c r="S178" s="141">
        <v>30.1</v>
      </c>
      <c r="T178" s="141">
        <v>9.1E-4</v>
      </c>
      <c r="U178" s="141">
        <v>1.7E-5</v>
      </c>
      <c r="V178" s="141">
        <f t="shared" si="5"/>
        <v>9.2699999999999998E-4</v>
      </c>
      <c r="W178" s="141">
        <v>1.24</v>
      </c>
      <c r="X178" s="141">
        <v>79.8</v>
      </c>
      <c r="Y178" s="141">
        <v>1</v>
      </c>
    </row>
    <row r="179" spans="12:25" ht="15" hidden="1" x14ac:dyDescent="0.25">
      <c r="L179" s="141">
        <v>11</v>
      </c>
      <c r="M179" s="140" t="s">
        <v>150</v>
      </c>
      <c r="N179" s="140"/>
      <c r="O179" s="141">
        <v>3500</v>
      </c>
      <c r="P179" s="141">
        <v>3.68</v>
      </c>
      <c r="Q179" s="141">
        <v>14.4</v>
      </c>
      <c r="R179" s="141">
        <v>10.050000000000001</v>
      </c>
      <c r="S179" s="141">
        <v>38.4</v>
      </c>
      <c r="T179" s="141">
        <v>1.1999999999999999E-3</v>
      </c>
      <c r="U179" s="141">
        <v>1.7E-5</v>
      </c>
      <c r="V179" s="141">
        <f t="shared" si="5"/>
        <v>1.217E-3</v>
      </c>
      <c r="W179" s="141">
        <v>1.5</v>
      </c>
      <c r="X179" s="141">
        <v>96.6</v>
      </c>
      <c r="Y179" s="141">
        <v>1.02</v>
      </c>
    </row>
    <row r="180" spans="12:25" ht="15" hidden="1" x14ac:dyDescent="0.25">
      <c r="L180" s="141">
        <v>12</v>
      </c>
      <c r="M180" s="140" t="s">
        <v>151</v>
      </c>
      <c r="N180" s="140"/>
      <c r="O180" s="141">
        <v>3500</v>
      </c>
      <c r="P180" s="141">
        <v>3.3</v>
      </c>
      <c r="Q180" s="141">
        <v>12.2</v>
      </c>
      <c r="R180" s="141">
        <v>9</v>
      </c>
      <c r="S180" s="141">
        <v>30.1</v>
      </c>
      <c r="T180" s="141">
        <v>1.6999999999999999E-3</v>
      </c>
      <c r="U180" s="141">
        <v>6.0999999999999999E-5</v>
      </c>
      <c r="V180" s="141">
        <f t="shared" si="5"/>
        <v>1.761E-3</v>
      </c>
      <c r="W180" s="141">
        <v>1.28</v>
      </c>
      <c r="X180" s="141">
        <v>82.1</v>
      </c>
      <c r="Y180" s="141">
        <v>1.05</v>
      </c>
    </row>
    <row r="181" spans="12:25" ht="15" hidden="1" x14ac:dyDescent="0.25">
      <c r="L181" s="141">
        <v>13</v>
      </c>
      <c r="M181" s="140" t="s">
        <v>152</v>
      </c>
      <c r="N181" s="140"/>
      <c r="O181" s="141">
        <v>3000</v>
      </c>
      <c r="P181" s="141">
        <v>4.05</v>
      </c>
      <c r="Q181" s="141">
        <v>16.8</v>
      </c>
      <c r="R181" s="141">
        <v>12.9</v>
      </c>
      <c r="S181" s="141">
        <v>42.6</v>
      </c>
      <c r="T181" s="141">
        <v>2.3999999999999998E-3</v>
      </c>
      <c r="U181" s="141">
        <v>6.0999999999999999E-5</v>
      </c>
      <c r="V181" s="141">
        <f t="shared" si="5"/>
        <v>2.4609999999999996E-3</v>
      </c>
      <c r="W181" s="141">
        <v>1.71</v>
      </c>
      <c r="X181" s="141">
        <v>110</v>
      </c>
      <c r="Y181" s="141">
        <v>1.0900000000000001</v>
      </c>
    </row>
    <row r="182" spans="12:25" ht="15" hidden="1" x14ac:dyDescent="0.25">
      <c r="L182" s="141">
        <v>14</v>
      </c>
      <c r="M182" s="140" t="s">
        <v>153</v>
      </c>
      <c r="N182" s="140"/>
      <c r="O182" s="141">
        <v>3000</v>
      </c>
      <c r="P182" s="141">
        <v>4.9000000000000004</v>
      </c>
      <c r="Q182" s="141">
        <v>21</v>
      </c>
      <c r="R182" s="141">
        <v>15.6</v>
      </c>
      <c r="S182" s="141">
        <v>54.1</v>
      </c>
      <c r="T182" s="141">
        <v>3.2000000000000002E-3</v>
      </c>
      <c r="U182" s="141">
        <v>6.0999999999999999E-5</v>
      </c>
      <c r="V182" s="141">
        <f t="shared" si="5"/>
        <v>3.261E-3</v>
      </c>
      <c r="W182" s="141">
        <v>1.66</v>
      </c>
      <c r="X182" s="141">
        <v>107</v>
      </c>
      <c r="Y182" s="141">
        <v>0.71</v>
      </c>
    </row>
    <row r="183" spans="12:25" ht="15" hidden="1" x14ac:dyDescent="0.25">
      <c r="L183" s="141">
        <v>15</v>
      </c>
      <c r="M183" s="140" t="s">
        <v>154</v>
      </c>
      <c r="N183" s="140"/>
      <c r="O183" s="141">
        <v>2500</v>
      </c>
      <c r="P183" s="141">
        <v>5.03</v>
      </c>
      <c r="Q183" s="141">
        <v>25</v>
      </c>
      <c r="R183" s="141">
        <v>19.2</v>
      </c>
      <c r="S183" s="141">
        <v>65.2</v>
      </c>
      <c r="T183" s="141">
        <v>4.0000000000000001E-3</v>
      </c>
      <c r="U183" s="141">
        <v>6.0999999999999999E-5</v>
      </c>
      <c r="V183" s="141">
        <f t="shared" si="5"/>
        <v>4.0610000000000004E-3</v>
      </c>
      <c r="W183" s="141">
        <v>1.85</v>
      </c>
      <c r="X183" s="141">
        <v>119</v>
      </c>
      <c r="Y183" s="141">
        <v>0.68</v>
      </c>
    </row>
    <row r="184" spans="12:25" ht="15" hidden="1" x14ac:dyDescent="0.25">
      <c r="L184" s="141">
        <v>16</v>
      </c>
      <c r="M184" s="143"/>
      <c r="N184" s="143"/>
      <c r="O184" s="143"/>
      <c r="P184" s="143"/>
      <c r="Q184" s="143"/>
      <c r="R184" s="143"/>
      <c r="S184" s="143"/>
      <c r="T184" s="143"/>
      <c r="U184" s="143"/>
      <c r="V184" s="143"/>
      <c r="W184" s="143"/>
      <c r="X184" s="143"/>
      <c r="Y184" s="143"/>
    </row>
    <row r="185" spans="12:25" ht="15" hidden="1" x14ac:dyDescent="0.25">
      <c r="L185" s="141">
        <v>17</v>
      </c>
      <c r="M185" s="143"/>
      <c r="N185" s="143"/>
      <c r="O185" s="143"/>
      <c r="P185" s="143"/>
      <c r="Q185" s="143"/>
      <c r="R185" s="143"/>
      <c r="S185" s="143"/>
      <c r="T185" s="143"/>
      <c r="U185" s="143"/>
      <c r="V185" s="143"/>
      <c r="W185" s="143"/>
      <c r="X185" s="143"/>
      <c r="Y185" s="143"/>
    </row>
    <row r="186" spans="12:25" ht="15" hidden="1" x14ac:dyDescent="0.25">
      <c r="L186" s="141">
        <v>18</v>
      </c>
      <c r="M186" s="143"/>
      <c r="N186" s="143"/>
      <c r="O186" s="143"/>
      <c r="P186" s="143"/>
      <c r="Q186" s="143"/>
      <c r="R186" s="143"/>
      <c r="S186" s="143"/>
      <c r="T186" s="143"/>
      <c r="U186" s="143"/>
      <c r="V186" s="143"/>
      <c r="W186" s="143"/>
      <c r="X186" s="143"/>
      <c r="Y186" s="143"/>
    </row>
    <row r="187" spans="12:25" ht="15" hidden="1" x14ac:dyDescent="0.25">
      <c r="L187" s="141">
        <v>19</v>
      </c>
      <c r="M187" s="143"/>
      <c r="N187" s="143"/>
      <c r="O187" s="143"/>
      <c r="P187" s="143"/>
      <c r="Q187" s="143"/>
      <c r="R187" s="143"/>
      <c r="S187" s="143"/>
      <c r="T187" s="143"/>
      <c r="U187" s="143"/>
      <c r="V187" s="143"/>
      <c r="W187" s="143"/>
      <c r="X187" s="143"/>
      <c r="Y187" s="143"/>
    </row>
    <row r="188" spans="12:25" ht="15" hidden="1" x14ac:dyDescent="0.25">
      <c r="L188" s="141">
        <v>20</v>
      </c>
      <c r="M188" s="143"/>
      <c r="N188" s="143"/>
      <c r="O188" s="143"/>
      <c r="P188" s="143"/>
      <c r="Q188" s="143"/>
      <c r="R188" s="143"/>
      <c r="S188" s="143"/>
      <c r="T188" s="143"/>
      <c r="U188" s="143"/>
      <c r="V188" s="143"/>
      <c r="W188" s="143"/>
      <c r="X188" s="143"/>
      <c r="Y188" s="143"/>
    </row>
    <row r="189" spans="12:25" ht="15" hidden="1" x14ac:dyDescent="0.25">
      <c r="L189" s="141">
        <v>21</v>
      </c>
      <c r="M189" s="143"/>
      <c r="N189" s="143"/>
      <c r="O189" s="143"/>
      <c r="P189" s="143"/>
      <c r="Q189" s="143"/>
      <c r="R189" s="143"/>
      <c r="S189" s="143"/>
      <c r="T189" s="143"/>
      <c r="U189" s="143"/>
      <c r="V189" s="143"/>
      <c r="W189" s="143"/>
      <c r="X189" s="143"/>
      <c r="Y189" s="143"/>
    </row>
    <row r="190" spans="12:25" ht="15" hidden="1" x14ac:dyDescent="0.25">
      <c r="L190" s="141">
        <v>22</v>
      </c>
      <c r="M190" s="143"/>
      <c r="N190" s="143"/>
      <c r="O190" s="143"/>
      <c r="P190" s="143"/>
      <c r="Q190" s="143"/>
      <c r="R190" s="143"/>
      <c r="S190" s="143"/>
      <c r="T190" s="143"/>
      <c r="U190" s="143"/>
      <c r="V190" s="143"/>
      <c r="W190" s="143"/>
      <c r="X190" s="143"/>
      <c r="Y190" s="143"/>
    </row>
    <row r="191" spans="12:25" ht="15" hidden="1" x14ac:dyDescent="0.25">
      <c r="L191" s="141">
        <v>23</v>
      </c>
      <c r="M191" s="143"/>
      <c r="N191" s="143"/>
      <c r="O191" s="143"/>
      <c r="P191" s="143"/>
      <c r="Q191" s="143"/>
      <c r="R191" s="143"/>
      <c r="S191" s="143"/>
      <c r="T191" s="143"/>
      <c r="U191" s="143"/>
      <c r="V191" s="143"/>
      <c r="W191" s="143"/>
      <c r="X191" s="143"/>
      <c r="Y191" s="143"/>
    </row>
    <row r="192" spans="12:25" ht="15" hidden="1" x14ac:dyDescent="0.25">
      <c r="L192" s="141">
        <v>24</v>
      </c>
      <c r="M192" s="143"/>
      <c r="N192" s="143"/>
      <c r="O192" s="143"/>
      <c r="P192" s="143"/>
      <c r="Q192" s="143"/>
      <c r="R192" s="143"/>
      <c r="S192" s="143"/>
      <c r="T192" s="143"/>
      <c r="U192" s="143"/>
      <c r="V192" s="143"/>
      <c r="W192" s="143"/>
      <c r="X192" s="143"/>
      <c r="Y192" s="143"/>
    </row>
    <row r="193" spans="12:25" hidden="1" x14ac:dyDescent="0.2">
      <c r="L193" s="143"/>
      <c r="M193" s="143"/>
      <c r="N193" s="143"/>
      <c r="O193" s="143"/>
      <c r="P193" s="143"/>
      <c r="Q193" s="143"/>
      <c r="R193" s="143"/>
      <c r="S193" s="143"/>
      <c r="T193" s="143"/>
      <c r="U193" s="143"/>
      <c r="V193" s="143"/>
      <c r="W193" s="143"/>
      <c r="X193" s="143"/>
      <c r="Y193" s="143"/>
    </row>
    <row r="194" spans="12:25" hidden="1" x14ac:dyDescent="0.2"/>
    <row r="195" spans="12:25" hidden="1" x14ac:dyDescent="0.2"/>
    <row r="196" spans="12:25" hidden="1" x14ac:dyDescent="0.2">
      <c r="M196" s="143" t="s">
        <v>188</v>
      </c>
      <c r="N196" s="143"/>
      <c r="O196" s="144" t="s">
        <v>129</v>
      </c>
      <c r="P196" s="144" t="s">
        <v>132</v>
      </c>
      <c r="Q196" s="144" t="s">
        <v>27</v>
      </c>
      <c r="R196" s="143" t="s">
        <v>155</v>
      </c>
    </row>
    <row r="197" spans="12:25" ht="15" hidden="1" x14ac:dyDescent="0.25">
      <c r="L197" s="143"/>
      <c r="M197" s="156" t="str">
        <f>VLOOKUP($L$265,$L$198:M221,M$165)</f>
        <v>IEC71 1500 rpm 0,37 kW</v>
      </c>
      <c r="N197" s="156"/>
      <c r="O197" s="156">
        <f>VLOOKUP($L$265,$L$198:O221,O$165)</f>
        <v>1370</v>
      </c>
      <c r="P197" s="156">
        <f>VLOOKUP($L$265,$L$198:P221,P$165)</f>
        <v>0.37</v>
      </c>
      <c r="Q197" s="156">
        <f>VLOOKUP($L$265,$L$198:Q221,Q$165)</f>
        <v>2.6305973722627738</v>
      </c>
      <c r="R197" s="156">
        <f>VLOOKUP($L$265,$L$198:R221,R$165)</f>
        <v>8.0999999999999996E-4</v>
      </c>
    </row>
    <row r="198" spans="12:25" hidden="1" x14ac:dyDescent="0.2">
      <c r="L198" s="144">
        <v>1</v>
      </c>
      <c r="M198" s="145" t="s">
        <v>156</v>
      </c>
      <c r="N198" s="143"/>
      <c r="O198" s="144">
        <v>2750</v>
      </c>
      <c r="P198" s="144">
        <v>0.25</v>
      </c>
      <c r="Q198" s="146">
        <f t="shared" ref="Q198:Q213" si="6">71620*1.36*P198/O198/10</f>
        <v>0.88548363636363647</v>
      </c>
      <c r="R198" s="144">
        <v>2.3000000000000001E-4</v>
      </c>
    </row>
    <row r="199" spans="12:25" hidden="1" x14ac:dyDescent="0.2">
      <c r="L199" s="144">
        <v>2</v>
      </c>
      <c r="M199" s="145" t="s">
        <v>157</v>
      </c>
      <c r="N199" s="143"/>
      <c r="O199" s="144">
        <v>2750</v>
      </c>
      <c r="P199" s="144">
        <v>0.25</v>
      </c>
      <c r="Q199" s="146">
        <f t="shared" si="6"/>
        <v>0.88548363636363647</v>
      </c>
      <c r="R199" s="144">
        <v>2.5000000000000001E-4</v>
      </c>
    </row>
    <row r="200" spans="12:25" hidden="1" x14ac:dyDescent="0.2">
      <c r="L200" s="144">
        <v>3</v>
      </c>
      <c r="M200" s="145" t="s">
        <v>158</v>
      </c>
      <c r="N200" s="143"/>
      <c r="O200" s="144">
        <v>1360</v>
      </c>
      <c r="P200" s="144">
        <v>0.18</v>
      </c>
      <c r="Q200" s="146">
        <f t="shared" si="6"/>
        <v>1.2891600000000001</v>
      </c>
      <c r="R200" s="144">
        <v>2.5000000000000001E-4</v>
      </c>
    </row>
    <row r="201" spans="12:25" hidden="1" x14ac:dyDescent="0.2">
      <c r="L201" s="144">
        <v>4</v>
      </c>
      <c r="M201" s="145" t="s">
        <v>159</v>
      </c>
      <c r="N201" s="143"/>
      <c r="O201" s="144">
        <v>1360</v>
      </c>
      <c r="P201" s="144">
        <v>0.18</v>
      </c>
      <c r="Q201" s="146">
        <f t="shared" si="6"/>
        <v>1.2891600000000001</v>
      </c>
      <c r="R201" s="144">
        <v>3.5E-4</v>
      </c>
    </row>
    <row r="202" spans="12:25" hidden="1" x14ac:dyDescent="0.2">
      <c r="L202" s="144">
        <v>5</v>
      </c>
      <c r="M202" s="145" t="s">
        <v>160</v>
      </c>
      <c r="N202" s="143"/>
      <c r="O202" s="144">
        <v>2760</v>
      </c>
      <c r="P202" s="144">
        <v>0.55000000000000004</v>
      </c>
      <c r="Q202" s="146">
        <f t="shared" si="6"/>
        <v>1.9410057971014496</v>
      </c>
      <c r="R202" s="144">
        <v>4.2000000000000002E-4</v>
      </c>
    </row>
    <row r="203" spans="12:25" hidden="1" x14ac:dyDescent="0.2">
      <c r="L203" s="144">
        <v>6</v>
      </c>
      <c r="M203" s="145" t="s">
        <v>161</v>
      </c>
      <c r="N203" s="143"/>
      <c r="O203" s="144">
        <v>2760</v>
      </c>
      <c r="P203" s="144">
        <v>0.55000000000000004</v>
      </c>
      <c r="Q203" s="146">
        <v>1.9</v>
      </c>
      <c r="R203" s="144">
        <v>4.8999999999999998E-4</v>
      </c>
    </row>
    <row r="204" spans="12:25" hidden="1" x14ac:dyDescent="0.2">
      <c r="L204" s="144">
        <v>7</v>
      </c>
      <c r="M204" s="145" t="s">
        <v>162</v>
      </c>
      <c r="N204" s="143"/>
      <c r="O204" s="144">
        <v>1370</v>
      </c>
      <c r="P204" s="144">
        <v>0.37</v>
      </c>
      <c r="Q204" s="146">
        <f t="shared" si="6"/>
        <v>2.6305973722627738</v>
      </c>
      <c r="R204" s="147">
        <v>8.0999999999999996E-4</v>
      </c>
    </row>
    <row r="205" spans="12:25" hidden="1" x14ac:dyDescent="0.2">
      <c r="L205" s="144">
        <v>8</v>
      </c>
      <c r="M205" s="145" t="s">
        <v>163</v>
      </c>
      <c r="N205" s="143"/>
      <c r="O205" s="144">
        <v>1370</v>
      </c>
      <c r="P205" s="144">
        <v>0.37</v>
      </c>
      <c r="Q205" s="146">
        <f t="shared" si="6"/>
        <v>2.6305973722627738</v>
      </c>
      <c r="R205" s="144">
        <v>9.3999999999999997E-4</v>
      </c>
    </row>
    <row r="206" spans="12:25" hidden="1" x14ac:dyDescent="0.2">
      <c r="L206" s="144">
        <v>9</v>
      </c>
      <c r="M206" s="145" t="s">
        <v>164</v>
      </c>
      <c r="N206" s="143"/>
      <c r="O206" s="144">
        <v>2840</v>
      </c>
      <c r="P206" s="144">
        <v>1.1000000000000001</v>
      </c>
      <c r="Q206" s="146">
        <f t="shared" si="6"/>
        <v>3.7726591549295785</v>
      </c>
      <c r="R206" s="144">
        <v>9.7999999999999997E-4</v>
      </c>
    </row>
    <row r="207" spans="12:25" hidden="1" x14ac:dyDescent="0.2">
      <c r="L207" s="144">
        <v>10</v>
      </c>
      <c r="M207" s="145" t="s">
        <v>165</v>
      </c>
      <c r="N207" s="143"/>
      <c r="O207" s="144">
        <v>2840</v>
      </c>
      <c r="P207" s="144">
        <v>1.1000000000000001</v>
      </c>
      <c r="Q207" s="146">
        <f t="shared" si="6"/>
        <v>3.7726591549295785</v>
      </c>
      <c r="R207" s="144">
        <f>0.000061+R206</f>
        <v>1.041E-3</v>
      </c>
    </row>
    <row r="208" spans="12:25" hidden="1" x14ac:dyDescent="0.2">
      <c r="L208" s="144">
        <v>11</v>
      </c>
      <c r="M208" s="145" t="s">
        <v>166</v>
      </c>
      <c r="N208" s="143"/>
      <c r="O208" s="144">
        <v>1380</v>
      </c>
      <c r="P208" s="144">
        <v>0.75</v>
      </c>
      <c r="Q208" s="146">
        <f t="shared" si="6"/>
        <v>5.2936521739130438</v>
      </c>
      <c r="R208" s="144">
        <v>1.874E-3</v>
      </c>
    </row>
    <row r="209" spans="12:18" hidden="1" x14ac:dyDescent="0.2">
      <c r="L209" s="144">
        <v>12</v>
      </c>
      <c r="M209" s="145" t="s">
        <v>167</v>
      </c>
      <c r="N209" s="143"/>
      <c r="O209" s="144">
        <v>1380</v>
      </c>
      <c r="P209" s="144">
        <v>0.75</v>
      </c>
      <c r="Q209" s="146">
        <f t="shared" si="6"/>
        <v>5.2936521739130438</v>
      </c>
      <c r="R209" s="144">
        <f>0.000061+R208</f>
        <v>1.9350000000000001E-3</v>
      </c>
    </row>
    <row r="210" spans="12:18" hidden="1" x14ac:dyDescent="0.2">
      <c r="L210" s="144">
        <v>13</v>
      </c>
      <c r="M210" s="145" t="s">
        <v>168</v>
      </c>
      <c r="N210" s="143"/>
      <c r="O210" s="144">
        <v>2860</v>
      </c>
      <c r="P210" s="144">
        <v>2.2000000000000002</v>
      </c>
      <c r="Q210" s="146">
        <v>7.3</v>
      </c>
      <c r="R210" s="147">
        <v>1.6100000000000001E-3</v>
      </c>
    </row>
    <row r="211" spans="12:18" hidden="1" x14ac:dyDescent="0.2">
      <c r="L211" s="144">
        <v>14</v>
      </c>
      <c r="M211" s="145" t="s">
        <v>169</v>
      </c>
      <c r="N211" s="143"/>
      <c r="O211" s="144">
        <v>2850</v>
      </c>
      <c r="P211" s="144">
        <v>2.2000000000000002</v>
      </c>
      <c r="Q211" s="146">
        <f t="shared" si="6"/>
        <v>7.5188435087719316</v>
      </c>
      <c r="R211" s="147">
        <f>0.0002+R210</f>
        <v>1.8100000000000002E-3</v>
      </c>
    </row>
    <row r="212" spans="12:18" hidden="1" x14ac:dyDescent="0.2">
      <c r="L212" s="144">
        <v>15</v>
      </c>
      <c r="M212" s="145" t="s">
        <v>170</v>
      </c>
      <c r="N212" s="143"/>
      <c r="O212" s="144">
        <v>1420</v>
      </c>
      <c r="P212" s="144">
        <v>1.5</v>
      </c>
      <c r="Q212" s="146">
        <f t="shared" si="6"/>
        <v>10.289070422535213</v>
      </c>
      <c r="R212" s="147">
        <v>2.8E-3</v>
      </c>
    </row>
    <row r="213" spans="12:18" hidden="1" x14ac:dyDescent="0.2">
      <c r="L213" s="144">
        <v>16</v>
      </c>
      <c r="M213" s="145" t="s">
        <v>171</v>
      </c>
      <c r="N213" s="143"/>
      <c r="O213" s="144">
        <v>1420</v>
      </c>
      <c r="P213" s="144">
        <v>1.5</v>
      </c>
      <c r="Q213" s="146">
        <f t="shared" si="6"/>
        <v>10.289070422535213</v>
      </c>
      <c r="R213" s="147">
        <v>4.1000000000000003E-3</v>
      </c>
    </row>
    <row r="214" spans="12:18" hidden="1" x14ac:dyDescent="0.2">
      <c r="L214" s="144">
        <v>17</v>
      </c>
      <c r="M214" s="145" t="s">
        <v>172</v>
      </c>
      <c r="N214" s="143"/>
      <c r="O214" s="144">
        <v>2850</v>
      </c>
      <c r="P214" s="144">
        <v>3</v>
      </c>
      <c r="Q214" s="144">
        <v>9.9</v>
      </c>
      <c r="R214" s="144">
        <v>3.2000000000000002E-3</v>
      </c>
    </row>
    <row r="215" spans="12:18" hidden="1" x14ac:dyDescent="0.2">
      <c r="L215" s="144">
        <v>18</v>
      </c>
      <c r="M215" s="145" t="s">
        <v>173</v>
      </c>
      <c r="N215" s="143"/>
      <c r="O215" s="144">
        <v>2850</v>
      </c>
      <c r="P215" s="144">
        <v>3</v>
      </c>
      <c r="Q215" s="144">
        <v>9.9</v>
      </c>
      <c r="R215" s="148">
        <v>4.2700000000000004E-3</v>
      </c>
    </row>
    <row r="216" spans="12:18" hidden="1" x14ac:dyDescent="0.2">
      <c r="L216" s="144">
        <v>19</v>
      </c>
      <c r="M216" s="149" t="s">
        <v>174</v>
      </c>
      <c r="N216" s="150"/>
      <c r="O216" s="151">
        <v>1430</v>
      </c>
      <c r="P216" s="151">
        <v>3</v>
      </c>
      <c r="Q216" s="151">
        <v>20</v>
      </c>
      <c r="R216" s="151">
        <v>6.0000000000000001E-3</v>
      </c>
    </row>
    <row r="217" spans="12:18" hidden="1" x14ac:dyDescent="0.2">
      <c r="L217" s="144">
        <v>20</v>
      </c>
      <c r="M217" s="149" t="s">
        <v>175</v>
      </c>
      <c r="N217" s="150"/>
      <c r="O217" s="151">
        <v>1430</v>
      </c>
      <c r="P217" s="151">
        <v>3</v>
      </c>
      <c r="Q217" s="151">
        <v>20</v>
      </c>
      <c r="R217" s="151">
        <v>1.01E-2</v>
      </c>
    </row>
    <row r="218" spans="12:18" hidden="1" x14ac:dyDescent="0.2">
      <c r="L218" s="144">
        <v>21</v>
      </c>
      <c r="M218" s="149" t="s">
        <v>176</v>
      </c>
      <c r="N218" s="150"/>
      <c r="O218" s="151">
        <v>2890</v>
      </c>
      <c r="P218" s="151">
        <v>4</v>
      </c>
      <c r="Q218" s="151">
        <v>13.2</v>
      </c>
      <c r="R218" s="151">
        <v>4.9899999999999996E-3</v>
      </c>
    </row>
    <row r="219" spans="12:18" hidden="1" x14ac:dyDescent="0.2">
      <c r="L219" s="144">
        <v>22</v>
      </c>
      <c r="M219" s="149" t="s">
        <v>177</v>
      </c>
      <c r="N219" s="150"/>
      <c r="O219" s="151">
        <v>2890</v>
      </c>
      <c r="P219" s="151">
        <v>4</v>
      </c>
      <c r="Q219" s="151">
        <v>13.2</v>
      </c>
      <c r="R219" s="151">
        <v>8.3000000000000001E-3</v>
      </c>
    </row>
    <row r="220" spans="12:18" hidden="1" x14ac:dyDescent="0.2">
      <c r="L220" s="144">
        <v>23</v>
      </c>
      <c r="M220" s="149" t="s">
        <v>178</v>
      </c>
      <c r="N220" s="150"/>
      <c r="O220" s="151">
        <v>1420</v>
      </c>
      <c r="P220" s="151">
        <v>4</v>
      </c>
      <c r="Q220" s="151">
        <v>26.6</v>
      </c>
      <c r="R220" s="151">
        <v>1.1140000000000001E-2</v>
      </c>
    </row>
    <row r="221" spans="12:18" hidden="1" x14ac:dyDescent="0.2">
      <c r="L221" s="144">
        <v>24</v>
      </c>
      <c r="M221" s="149" t="s">
        <v>179</v>
      </c>
      <c r="N221" s="150"/>
      <c r="O221" s="151">
        <v>1420</v>
      </c>
      <c r="P221" s="151">
        <v>4</v>
      </c>
      <c r="Q221" s="151">
        <v>26.6</v>
      </c>
      <c r="R221" s="151">
        <v>0.02</v>
      </c>
    </row>
    <row r="222" spans="12:18" hidden="1" x14ac:dyDescent="0.2">
      <c r="L222" s="144"/>
      <c r="M222" s="145"/>
      <c r="N222" s="143"/>
      <c r="O222" s="144"/>
      <c r="P222" s="144"/>
      <c r="Q222" s="146"/>
      <c r="R222" s="147"/>
    </row>
    <row r="223" spans="12:18" hidden="1" x14ac:dyDescent="0.2">
      <c r="L223" s="144"/>
      <c r="M223" s="145"/>
      <c r="N223" s="143"/>
      <c r="O223" s="144"/>
      <c r="P223" s="144"/>
      <c r="Q223" s="146"/>
      <c r="R223" s="147"/>
    </row>
    <row r="224" spans="12:18" hidden="1" x14ac:dyDescent="0.2">
      <c r="O224" s="152" t="s">
        <v>180</v>
      </c>
      <c r="P224" s="144" t="s">
        <v>126</v>
      </c>
    </row>
    <row r="225" spans="12:16" ht="15" hidden="1" x14ac:dyDescent="0.25">
      <c r="L225" s="143"/>
      <c r="M225" s="156" t="str">
        <f>VLOOKUP($L$265,$L$226:M249,M$165)</f>
        <v>-</v>
      </c>
      <c r="N225" s="156">
        <f>VLOOKUP($L$265,$L$226:N249,N$165)</f>
        <v>0</v>
      </c>
      <c r="O225" s="156" t="str">
        <f>VLOOKUP($L$265,$L$226:O249,O$165)</f>
        <v>-</v>
      </c>
      <c r="P225" s="156" t="str">
        <f>VLOOKUP($L$265,$L$226:P249,P$165)</f>
        <v>-</v>
      </c>
    </row>
    <row r="226" spans="12:16" hidden="1" x14ac:dyDescent="0.2">
      <c r="L226" s="144">
        <v>1</v>
      </c>
      <c r="M226" s="143" t="s">
        <v>181</v>
      </c>
      <c r="N226" s="143"/>
      <c r="O226" s="144">
        <v>1.2</v>
      </c>
      <c r="P226" s="144">
        <v>2.4000000000000001E-5</v>
      </c>
    </row>
    <row r="227" spans="12:16" hidden="1" x14ac:dyDescent="0.2">
      <c r="L227" s="144">
        <v>2</v>
      </c>
      <c r="M227" s="143" t="s">
        <v>182</v>
      </c>
      <c r="N227" s="143"/>
      <c r="O227" s="144">
        <v>1.77</v>
      </c>
      <c r="P227" s="153">
        <v>3.9499999999999998E-5</v>
      </c>
    </row>
    <row r="228" spans="12:16" hidden="1" x14ac:dyDescent="0.2">
      <c r="L228" s="144">
        <v>3</v>
      </c>
      <c r="M228" s="143" t="s">
        <v>183</v>
      </c>
      <c r="N228" s="143"/>
      <c r="O228" s="144">
        <v>2.4700000000000002</v>
      </c>
      <c r="P228" s="153">
        <v>5.9299999999999998E-5</v>
      </c>
    </row>
    <row r="229" spans="12:16" hidden="1" x14ac:dyDescent="0.2">
      <c r="L229" s="144">
        <v>4</v>
      </c>
      <c r="M229" s="143" t="s">
        <v>184</v>
      </c>
      <c r="N229" s="143"/>
      <c r="O229" s="144">
        <v>2.72</v>
      </c>
      <c r="P229" s="153">
        <v>1.13E-4</v>
      </c>
    </row>
    <row r="230" spans="12:16" hidden="1" x14ac:dyDescent="0.2">
      <c r="L230" s="144">
        <v>5</v>
      </c>
      <c r="M230" s="143" t="s">
        <v>185</v>
      </c>
      <c r="N230" s="143"/>
      <c r="O230" s="144">
        <v>5.44</v>
      </c>
      <c r="P230" s="153">
        <v>2.1900000000000001E-4</v>
      </c>
    </row>
    <row r="231" spans="12:16" hidden="1" x14ac:dyDescent="0.2">
      <c r="L231" s="144">
        <v>6</v>
      </c>
      <c r="M231" s="143" t="s">
        <v>186</v>
      </c>
      <c r="N231" s="143"/>
      <c r="O231" s="144">
        <v>8.16</v>
      </c>
      <c r="P231" s="153">
        <v>3.3199999999999999E-4</v>
      </c>
    </row>
    <row r="232" spans="12:16" hidden="1" x14ac:dyDescent="0.2">
      <c r="L232" s="144">
        <v>7</v>
      </c>
      <c r="M232" s="144" t="s">
        <v>187</v>
      </c>
      <c r="N232" s="143"/>
      <c r="O232" s="144" t="s">
        <v>187</v>
      </c>
      <c r="P232" s="144" t="s">
        <v>187</v>
      </c>
    </row>
    <row r="233" spans="12:16" hidden="1" x14ac:dyDescent="0.2">
      <c r="L233" s="144">
        <v>8</v>
      </c>
      <c r="M233" s="144" t="s">
        <v>187</v>
      </c>
      <c r="N233" s="143"/>
      <c r="O233" s="144" t="s">
        <v>187</v>
      </c>
      <c r="P233" s="144" t="s">
        <v>187</v>
      </c>
    </row>
    <row r="234" spans="12:16" hidden="1" x14ac:dyDescent="0.2">
      <c r="L234" s="144">
        <v>9</v>
      </c>
      <c r="M234" s="144" t="s">
        <v>187</v>
      </c>
      <c r="N234" s="143"/>
      <c r="O234" s="144" t="s">
        <v>187</v>
      </c>
      <c r="P234" s="144" t="s">
        <v>187</v>
      </c>
    </row>
    <row r="235" spans="12:16" hidden="1" x14ac:dyDescent="0.2">
      <c r="L235" s="144">
        <v>10</v>
      </c>
      <c r="M235" s="144" t="s">
        <v>187</v>
      </c>
      <c r="N235" s="143"/>
      <c r="O235" s="144" t="s">
        <v>187</v>
      </c>
      <c r="P235" s="144" t="s">
        <v>187</v>
      </c>
    </row>
    <row r="236" spans="12:16" hidden="1" x14ac:dyDescent="0.2">
      <c r="L236" s="144">
        <v>11</v>
      </c>
      <c r="M236" s="144" t="s">
        <v>187</v>
      </c>
      <c r="N236" s="143"/>
      <c r="O236" s="144" t="s">
        <v>187</v>
      </c>
      <c r="P236" s="144" t="s">
        <v>187</v>
      </c>
    </row>
    <row r="237" spans="12:16" hidden="1" x14ac:dyDescent="0.2">
      <c r="L237" s="144">
        <v>12</v>
      </c>
      <c r="M237" s="144" t="s">
        <v>187</v>
      </c>
      <c r="N237" s="143"/>
      <c r="O237" s="144" t="s">
        <v>187</v>
      </c>
      <c r="P237" s="144" t="s">
        <v>187</v>
      </c>
    </row>
    <row r="238" spans="12:16" hidden="1" x14ac:dyDescent="0.2">
      <c r="L238" s="144">
        <v>13</v>
      </c>
      <c r="M238" s="144" t="s">
        <v>187</v>
      </c>
      <c r="N238" s="143"/>
      <c r="O238" s="144" t="s">
        <v>187</v>
      </c>
      <c r="P238" s="144" t="s">
        <v>187</v>
      </c>
    </row>
    <row r="239" spans="12:16" hidden="1" x14ac:dyDescent="0.2">
      <c r="L239" s="144">
        <v>14</v>
      </c>
      <c r="M239" s="144" t="s">
        <v>187</v>
      </c>
      <c r="N239" s="143"/>
      <c r="O239" s="144" t="s">
        <v>187</v>
      </c>
      <c r="P239" s="144" t="s">
        <v>187</v>
      </c>
    </row>
    <row r="240" spans="12:16" hidden="1" x14ac:dyDescent="0.2">
      <c r="L240" s="144">
        <v>15</v>
      </c>
      <c r="M240" s="144" t="s">
        <v>187</v>
      </c>
      <c r="N240" s="143"/>
      <c r="O240" s="144" t="s">
        <v>187</v>
      </c>
      <c r="P240" s="144" t="s">
        <v>187</v>
      </c>
    </row>
    <row r="241" spans="12:16" hidden="1" x14ac:dyDescent="0.2">
      <c r="L241" s="144">
        <v>16</v>
      </c>
      <c r="M241" s="144" t="s">
        <v>187</v>
      </c>
      <c r="N241" s="143"/>
      <c r="O241" s="144" t="s">
        <v>187</v>
      </c>
      <c r="P241" s="144" t="s">
        <v>187</v>
      </c>
    </row>
    <row r="242" spans="12:16" hidden="1" x14ac:dyDescent="0.2">
      <c r="L242" s="144">
        <v>17</v>
      </c>
      <c r="M242" s="144" t="s">
        <v>187</v>
      </c>
      <c r="N242" s="143"/>
      <c r="O242" s="144" t="s">
        <v>187</v>
      </c>
      <c r="P242" s="144" t="s">
        <v>187</v>
      </c>
    </row>
    <row r="243" spans="12:16" hidden="1" x14ac:dyDescent="0.2">
      <c r="L243" s="144">
        <v>18</v>
      </c>
      <c r="M243" s="144" t="s">
        <v>187</v>
      </c>
      <c r="N243" s="143"/>
      <c r="O243" s="144" t="s">
        <v>187</v>
      </c>
      <c r="P243" s="144" t="s">
        <v>187</v>
      </c>
    </row>
    <row r="244" spans="12:16" hidden="1" x14ac:dyDescent="0.2">
      <c r="L244" s="144">
        <v>19</v>
      </c>
      <c r="M244" s="144" t="s">
        <v>187</v>
      </c>
      <c r="N244" s="143"/>
      <c r="O244" s="144" t="s">
        <v>187</v>
      </c>
      <c r="P244" s="144" t="s">
        <v>187</v>
      </c>
    </row>
    <row r="245" spans="12:16" hidden="1" x14ac:dyDescent="0.2">
      <c r="L245" s="144">
        <v>20</v>
      </c>
      <c r="M245" s="144" t="s">
        <v>187</v>
      </c>
      <c r="N245" s="143"/>
      <c r="O245" s="144" t="s">
        <v>187</v>
      </c>
      <c r="P245" s="144" t="s">
        <v>187</v>
      </c>
    </row>
    <row r="246" spans="12:16" hidden="1" x14ac:dyDescent="0.2">
      <c r="L246" s="144">
        <v>21</v>
      </c>
      <c r="M246" s="144" t="s">
        <v>187</v>
      </c>
      <c r="N246" s="143"/>
      <c r="O246" s="144" t="s">
        <v>187</v>
      </c>
      <c r="P246" s="144" t="s">
        <v>187</v>
      </c>
    </row>
    <row r="247" spans="12:16" hidden="1" x14ac:dyDescent="0.2">
      <c r="L247" s="144">
        <v>22</v>
      </c>
      <c r="M247" s="144" t="s">
        <v>187</v>
      </c>
      <c r="N247" s="143"/>
      <c r="O247" s="144" t="s">
        <v>187</v>
      </c>
      <c r="P247" s="144" t="s">
        <v>187</v>
      </c>
    </row>
    <row r="248" spans="12:16" hidden="1" x14ac:dyDescent="0.2">
      <c r="L248" s="144">
        <v>23</v>
      </c>
      <c r="M248" s="144" t="s">
        <v>187</v>
      </c>
      <c r="N248" s="143"/>
      <c r="O248" s="144" t="s">
        <v>187</v>
      </c>
      <c r="P248" s="144" t="s">
        <v>187</v>
      </c>
    </row>
    <row r="249" spans="12:16" hidden="1" x14ac:dyDescent="0.2">
      <c r="L249" s="144">
        <v>24</v>
      </c>
      <c r="M249" s="144" t="s">
        <v>187</v>
      </c>
      <c r="N249" s="143"/>
      <c r="O249" s="144" t="s">
        <v>187</v>
      </c>
      <c r="P249" s="144" t="s">
        <v>187</v>
      </c>
    </row>
    <row r="250" spans="12:16" hidden="1" x14ac:dyDescent="0.2"/>
    <row r="251" spans="12:16" hidden="1" x14ac:dyDescent="0.2"/>
    <row r="252" spans="12:16" hidden="1" x14ac:dyDescent="0.2"/>
    <row r="253" spans="12:16" hidden="1" x14ac:dyDescent="0.2">
      <c r="L253" s="112">
        <v>1</v>
      </c>
    </row>
    <row r="254" spans="12:16" hidden="1" x14ac:dyDescent="0.2">
      <c r="L254" s="16">
        <v>1</v>
      </c>
      <c r="M254" s="16" t="s">
        <v>190</v>
      </c>
    </row>
    <row r="255" spans="12:16" hidden="1" x14ac:dyDescent="0.2">
      <c r="L255" s="16">
        <v>2</v>
      </c>
      <c r="M255" s="16" t="s">
        <v>191</v>
      </c>
    </row>
    <row r="256" spans="12:16" hidden="1" x14ac:dyDescent="0.2"/>
    <row r="257" spans="12:16" hidden="1" x14ac:dyDescent="0.2">
      <c r="L257" s="112">
        <v>2</v>
      </c>
      <c r="O257" s="112">
        <v>2</v>
      </c>
    </row>
    <row r="258" spans="12:16" hidden="1" x14ac:dyDescent="0.2">
      <c r="L258" s="16">
        <v>1</v>
      </c>
      <c r="M258" s="16" t="s">
        <v>195</v>
      </c>
      <c r="O258" s="16">
        <v>1</v>
      </c>
      <c r="P258" s="16" t="str">
        <f>IF($L$257=3,"Without brake"," ")</f>
        <v xml:space="preserve"> </v>
      </c>
    </row>
    <row r="259" spans="12:16" hidden="1" x14ac:dyDescent="0.2">
      <c r="L259" s="16">
        <v>2</v>
      </c>
      <c r="M259" s="16" t="s">
        <v>196</v>
      </c>
      <c r="O259" s="16">
        <v>2</v>
      </c>
      <c r="P259" s="16" t="str">
        <f>IF($L$257=3,"With brake"," ")</f>
        <v xml:space="preserve"> </v>
      </c>
    </row>
    <row r="260" spans="12:16" hidden="1" x14ac:dyDescent="0.2">
      <c r="L260" s="16">
        <v>3</v>
      </c>
      <c r="M260" s="16" t="s">
        <v>189</v>
      </c>
    </row>
    <row r="261" spans="12:16" hidden="1" x14ac:dyDescent="0.2">
      <c r="L261" s="16">
        <v>4</v>
      </c>
      <c r="M261" s="16" t="s">
        <v>197</v>
      </c>
    </row>
    <row r="262" spans="12:16" hidden="1" x14ac:dyDescent="0.2">
      <c r="L262" s="16">
        <v>5</v>
      </c>
      <c r="M262" s="16" t="s">
        <v>201</v>
      </c>
    </row>
    <row r="263" spans="12:16" hidden="1" x14ac:dyDescent="0.2"/>
    <row r="264" spans="12:16" hidden="1" x14ac:dyDescent="0.2"/>
    <row r="265" spans="12:16" hidden="1" x14ac:dyDescent="0.2">
      <c r="L265" s="111">
        <v>7</v>
      </c>
    </row>
    <row r="266" spans="12:16" hidden="1" x14ac:dyDescent="0.2">
      <c r="L266" s="139">
        <v>1</v>
      </c>
      <c r="M266" s="16" t="str">
        <f t="shared" ref="M266:M289" si="7">IF($L$257=1,"-",IF($L$257=2,M198,IF($L$257=3,M169,IF($L$257=4,M226," - "))))</f>
        <v>IEC 63  3000 rpm  0,25 kW</v>
      </c>
    </row>
    <row r="267" spans="12:16" hidden="1" x14ac:dyDescent="0.2">
      <c r="L267" s="139">
        <v>2</v>
      </c>
      <c r="M267" s="16" t="str">
        <f t="shared" si="7"/>
        <v>IEC 63  with brake 3000 rpm  0,25 kW</v>
      </c>
    </row>
    <row r="268" spans="12:16" hidden="1" x14ac:dyDescent="0.2">
      <c r="L268" s="139">
        <v>3</v>
      </c>
      <c r="M268" s="16" t="str">
        <f t="shared" si="7"/>
        <v>IEC 63  1500 rpm  0,18 kW</v>
      </c>
    </row>
    <row r="269" spans="12:16" hidden="1" x14ac:dyDescent="0.2">
      <c r="L269" s="139">
        <v>4</v>
      </c>
      <c r="M269" s="16" t="str">
        <f t="shared" si="7"/>
        <v>IEC 63  with brake 1500 rpm  0,18 kW</v>
      </c>
    </row>
    <row r="270" spans="12:16" hidden="1" x14ac:dyDescent="0.2">
      <c r="L270" s="139">
        <v>5</v>
      </c>
      <c r="M270" s="16" t="str">
        <f t="shared" si="7"/>
        <v>IEC71 3000 rpm 0,55 kW</v>
      </c>
    </row>
    <row r="271" spans="12:16" hidden="1" x14ac:dyDescent="0.2">
      <c r="L271" s="139">
        <v>6</v>
      </c>
      <c r="M271" s="16" t="str">
        <f t="shared" si="7"/>
        <v>IEC71 with brake 3000 rpm 0,55 kW</v>
      </c>
    </row>
    <row r="272" spans="12:16" hidden="1" x14ac:dyDescent="0.2">
      <c r="L272" s="139">
        <v>7</v>
      </c>
      <c r="M272" s="16" t="str">
        <f t="shared" si="7"/>
        <v>IEC71 1500 rpm 0,37 kW</v>
      </c>
    </row>
    <row r="273" spans="12:13" hidden="1" x14ac:dyDescent="0.2">
      <c r="L273" s="139">
        <v>8</v>
      </c>
      <c r="M273" s="16" t="str">
        <f t="shared" si="7"/>
        <v>IEC71 with brake 1500 rpm 0,37 kW</v>
      </c>
    </row>
    <row r="274" spans="12:13" hidden="1" x14ac:dyDescent="0.2">
      <c r="L274" s="139">
        <v>9</v>
      </c>
      <c r="M274" s="16" t="str">
        <f t="shared" si="7"/>
        <v>IEC80 3000 rpm 1,1 kW</v>
      </c>
    </row>
    <row r="275" spans="12:13" hidden="1" x14ac:dyDescent="0.2">
      <c r="L275" s="139">
        <v>10</v>
      </c>
      <c r="M275" s="16" t="str">
        <f t="shared" si="7"/>
        <v>IEC80 with brake 3000 rpm 1,1 kW</v>
      </c>
    </row>
    <row r="276" spans="12:13" hidden="1" x14ac:dyDescent="0.2">
      <c r="L276" s="139">
        <v>11</v>
      </c>
      <c r="M276" s="16" t="str">
        <f t="shared" si="7"/>
        <v>IEC80 1500 rpm 0,75 kW</v>
      </c>
    </row>
    <row r="277" spans="12:13" hidden="1" x14ac:dyDescent="0.2">
      <c r="L277" s="139">
        <v>12</v>
      </c>
      <c r="M277" s="16" t="str">
        <f t="shared" si="7"/>
        <v>IEC80 with brake 1500 rpm 0,75 kW</v>
      </c>
    </row>
    <row r="278" spans="12:13" hidden="1" x14ac:dyDescent="0.2">
      <c r="L278" s="139">
        <v>13</v>
      </c>
      <c r="M278" s="16" t="str">
        <f t="shared" si="7"/>
        <v>IEC90 3000 rpm 2,2 kW</v>
      </c>
    </row>
    <row r="279" spans="12:13" hidden="1" x14ac:dyDescent="0.2">
      <c r="L279" s="139">
        <v>14</v>
      </c>
      <c r="M279" s="16" t="str">
        <f t="shared" si="7"/>
        <v>IEC90 with brake 3000 rpm 2,2 kW</v>
      </c>
    </row>
    <row r="280" spans="12:13" hidden="1" x14ac:dyDescent="0.2">
      <c r="L280" s="139">
        <v>15</v>
      </c>
      <c r="M280" s="16" t="str">
        <f t="shared" si="7"/>
        <v>IEC90 1500 rpm 1,5 kW</v>
      </c>
    </row>
    <row r="281" spans="12:13" hidden="1" x14ac:dyDescent="0.2">
      <c r="L281" s="139">
        <v>16</v>
      </c>
      <c r="M281" s="16" t="str">
        <f t="shared" si="7"/>
        <v>IEC90 with brake 1500 rpm 1,5 kW</v>
      </c>
    </row>
    <row r="282" spans="12:13" hidden="1" x14ac:dyDescent="0.2">
      <c r="L282" s="139">
        <v>17</v>
      </c>
      <c r="M282" s="16" t="str">
        <f t="shared" si="7"/>
        <v>IEC100 3000 rpm 3 kW</v>
      </c>
    </row>
    <row r="283" spans="12:13" hidden="1" x14ac:dyDescent="0.2">
      <c r="L283" s="139">
        <v>18</v>
      </c>
      <c r="M283" s="16" t="str">
        <f t="shared" si="7"/>
        <v>IEC100 with brake 3000 rpm 3 kW</v>
      </c>
    </row>
    <row r="284" spans="12:13" hidden="1" x14ac:dyDescent="0.2">
      <c r="L284" s="139">
        <v>19</v>
      </c>
      <c r="M284" s="16" t="str">
        <f t="shared" si="7"/>
        <v>IEC100 1500 rpm 3 kW</v>
      </c>
    </row>
    <row r="285" spans="12:13" hidden="1" x14ac:dyDescent="0.2">
      <c r="L285" s="139">
        <v>20</v>
      </c>
      <c r="M285" s="16" t="str">
        <f t="shared" si="7"/>
        <v>IEC100 with brake 1500 rpm 3 kW</v>
      </c>
    </row>
    <row r="286" spans="12:13" hidden="1" x14ac:dyDescent="0.2">
      <c r="L286" s="139">
        <v>21</v>
      </c>
      <c r="M286" s="16" t="str">
        <f t="shared" si="7"/>
        <v>IEC112 3000 rpm 4 kW</v>
      </c>
    </row>
    <row r="287" spans="12:13" hidden="1" x14ac:dyDescent="0.2">
      <c r="L287" s="139">
        <v>22</v>
      </c>
      <c r="M287" s="16" t="str">
        <f t="shared" si="7"/>
        <v>IEC112 with brake 3000 rpm 4 kW</v>
      </c>
    </row>
    <row r="288" spans="12:13" hidden="1" x14ac:dyDescent="0.2">
      <c r="L288" s="139">
        <v>23</v>
      </c>
      <c r="M288" s="16" t="str">
        <f t="shared" si="7"/>
        <v>IEC112 1500 rpm 4 kW</v>
      </c>
    </row>
    <row r="289" spans="12:13" hidden="1" x14ac:dyDescent="0.2">
      <c r="L289" s="139">
        <v>24</v>
      </c>
      <c r="M289" s="16" t="str">
        <f t="shared" si="7"/>
        <v>IEC112 with brake 1500 rpm 4 kW</v>
      </c>
    </row>
  </sheetData>
  <sheetProtection password="CC6C" sheet="1" objects="1" scenarios="1"/>
  <sortState ref="BI32:BL48">
    <sortCondition ref="BI32:BI48"/>
  </sortState>
  <mergeCells count="20">
    <mergeCell ref="B3:D3"/>
    <mergeCell ref="B4:D4"/>
    <mergeCell ref="B5:D5"/>
    <mergeCell ref="F5:G5"/>
    <mergeCell ref="AE64:AF64"/>
    <mergeCell ref="AE90:AF90"/>
    <mergeCell ref="AE24:AF24"/>
    <mergeCell ref="AE38:AF38"/>
    <mergeCell ref="AH102:AI102"/>
    <mergeCell ref="U127:V127"/>
    <mergeCell ref="W127:X127"/>
    <mergeCell ref="X102:Y102"/>
    <mergeCell ref="AE51:AF51"/>
    <mergeCell ref="AE77:AF77"/>
    <mergeCell ref="AM100:AM102"/>
    <mergeCell ref="AN100:AN102"/>
    <mergeCell ref="Z102:AA102"/>
    <mergeCell ref="AB102:AC102"/>
    <mergeCell ref="AD102:AE102"/>
    <mergeCell ref="AF102:AG102"/>
  </mergeCells>
  <conditionalFormatting sqref="H18">
    <cfRule type="expression" dxfId="21" priority="13" stopIfTrue="1">
      <formula>$Q$13&lt;3</formula>
    </cfRule>
  </conditionalFormatting>
  <conditionalFormatting sqref="G18">
    <cfRule type="expression" dxfId="20" priority="14" stopIfTrue="1">
      <formula>$K$22+$Q$13&lt;3</formula>
    </cfRule>
  </conditionalFormatting>
  <conditionalFormatting sqref="G24">
    <cfRule type="expression" dxfId="19" priority="15" stopIfTrue="1">
      <formula>$M$33=0</formula>
    </cfRule>
  </conditionalFormatting>
  <conditionalFormatting sqref="D22">
    <cfRule type="expression" dxfId="18" priority="8">
      <formula>$Q$18=1</formula>
    </cfRule>
  </conditionalFormatting>
  <conditionalFormatting sqref="D111:D114">
    <cfRule type="expression" dxfId="17" priority="16">
      <formula>$L$253=2</formula>
    </cfRule>
    <cfRule type="expression" dxfId="16" priority="17">
      <formula>$L$253=1</formula>
    </cfRule>
  </conditionalFormatting>
  <conditionalFormatting sqref="D123:I126 D127">
    <cfRule type="expression" dxfId="15" priority="18">
      <formula>$L$257=5</formula>
    </cfRule>
  </conditionalFormatting>
  <conditionalFormatting sqref="A128:G135">
    <cfRule type="expression" dxfId="14" priority="20">
      <formula>$L$257=1</formula>
    </cfRule>
  </conditionalFormatting>
  <conditionalFormatting sqref="F133">
    <cfRule type="expression" dxfId="13" priority="21">
      <formula>$L$257=2</formula>
    </cfRule>
  </conditionalFormatting>
  <conditionalFormatting sqref="G101">
    <cfRule type="expression" dxfId="12" priority="1">
      <formula>$F$101&gt;3001</formula>
    </cfRule>
  </conditionalFormatting>
  <pageMargins left="0.25" right="0.25" top="0.75" bottom="0.75" header="0.3" footer="0.3"/>
  <pageSetup paperSize="9" orientation="portrait" verticalDpi="0" r:id="rId1"/>
  <headerFooter>
    <oddHeader>&amp;C&amp;F</oddHeader>
    <oddFooter>&amp;Cpage &amp;P / &amp;N  printed &amp;D &amp;T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9525</xdr:colOff>
                    <xdr:row>7</xdr:row>
                    <xdr:rowOff>9525</xdr:rowOff>
                  </from>
                  <to>
                    <xdr:col>3</xdr:col>
                    <xdr:colOff>161925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Drop Down 4">
              <controlPr defaultSize="0" autoLine="0" autoPict="0">
                <anchor moveWithCells="1">
                  <from>
                    <xdr:col>1</xdr:col>
                    <xdr:colOff>600075</xdr:colOff>
                    <xdr:row>16</xdr:row>
                    <xdr:rowOff>171450</xdr:rowOff>
                  </from>
                  <to>
                    <xdr:col>4</xdr:col>
                    <xdr:colOff>304800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3</xdr:col>
                    <xdr:colOff>9525</xdr:colOff>
                    <xdr:row>20</xdr:row>
                    <xdr:rowOff>0</xdr:rowOff>
                  </from>
                  <to>
                    <xdr:col>4</xdr:col>
                    <xdr:colOff>542925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Drop Down 8">
              <controlPr defaultSize="0" autoLine="0" autoPict="0">
                <anchor mov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3</xdr:col>
                    <xdr:colOff>66675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Drop Down 10">
              <controlPr defaultSize="0" autoLine="0" autoPict="0">
                <anchor moveWithCells="1">
                  <from>
                    <xdr:col>5</xdr:col>
                    <xdr:colOff>180975</xdr:colOff>
                    <xdr:row>49</xdr:row>
                    <xdr:rowOff>9525</xdr:rowOff>
                  </from>
                  <to>
                    <xdr:col>6</xdr:col>
                    <xdr:colOff>47625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Drop Down 13">
              <controlPr defaultSize="0" autoLine="0" autoPict="0">
                <anchor moveWithCells="1">
                  <from>
                    <xdr:col>7</xdr:col>
                    <xdr:colOff>57150</xdr:colOff>
                    <xdr:row>43</xdr:row>
                    <xdr:rowOff>9525</xdr:rowOff>
                  </from>
                  <to>
                    <xdr:col>9</xdr:col>
                    <xdr:colOff>123825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0" name="Drop Down 26">
              <controlPr defaultSize="0" autoLine="0" autoPict="0">
                <anchor moveWithCells="1">
                  <from>
                    <xdr:col>0</xdr:col>
                    <xdr:colOff>619125</xdr:colOff>
                    <xdr:row>108</xdr:row>
                    <xdr:rowOff>171450</xdr:rowOff>
                  </from>
                  <to>
                    <xdr:col>2</xdr:col>
                    <xdr:colOff>581025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Drop Down 27">
              <controlPr defaultSize="0" autoLine="0" autoPict="0">
                <anchor moveWithCells="1">
                  <from>
                    <xdr:col>1</xdr:col>
                    <xdr:colOff>0</xdr:colOff>
                    <xdr:row>115</xdr:row>
                    <xdr:rowOff>171450</xdr:rowOff>
                  </from>
                  <to>
                    <xdr:col>2</xdr:col>
                    <xdr:colOff>571500</xdr:colOff>
                    <xdr:row>116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Drop Down 28">
              <controlPr defaultSize="0" autoLine="0" autoPict="0">
                <anchor moveWithCells="1">
                  <from>
                    <xdr:col>6</xdr:col>
                    <xdr:colOff>466725</xdr:colOff>
                    <xdr:row>115</xdr:row>
                    <xdr:rowOff>161925</xdr:rowOff>
                  </from>
                  <to>
                    <xdr:col>8</xdr:col>
                    <xdr:colOff>304800</xdr:colOff>
                    <xdr:row>116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Drop Down 29">
              <controlPr defaultSize="0" autoLine="0" autoPict="0">
                <anchor moveWithCells="1">
                  <from>
                    <xdr:col>3</xdr:col>
                    <xdr:colOff>0</xdr:colOff>
                    <xdr:row>115</xdr:row>
                    <xdr:rowOff>180975</xdr:rowOff>
                  </from>
                  <to>
                    <xdr:col>6</xdr:col>
                    <xdr:colOff>428625</xdr:colOff>
                    <xdr:row>116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4" name="Drop Down 30">
              <controlPr defaultSize="0" autoLine="0" autoPict="0">
                <anchor moveWithCells="1">
                  <from>
                    <xdr:col>3</xdr:col>
                    <xdr:colOff>495300</xdr:colOff>
                    <xdr:row>83</xdr:row>
                    <xdr:rowOff>161925</xdr:rowOff>
                  </from>
                  <to>
                    <xdr:col>9</xdr:col>
                    <xdr:colOff>504825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5" name="Drop Down 31">
              <controlPr defaultSize="0" autoLine="0" autoPict="0">
                <anchor moveWithCells="1">
                  <from>
                    <xdr:col>2</xdr:col>
                    <xdr:colOff>19050</xdr:colOff>
                    <xdr:row>10</xdr:row>
                    <xdr:rowOff>180975</xdr:rowOff>
                  </from>
                  <to>
                    <xdr:col>3</xdr:col>
                    <xdr:colOff>57150</xdr:colOff>
                    <xdr:row>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0"/>
  <sheetViews>
    <sheetView topLeftCell="A33" workbookViewId="0">
      <selection activeCell="D37" sqref="D37"/>
    </sheetView>
  </sheetViews>
  <sheetFormatPr defaultRowHeight="15" x14ac:dyDescent="0.25"/>
  <sheetData>
    <row r="2" spans="1:14" x14ac:dyDescent="0.25">
      <c r="B2" s="52" t="s">
        <v>36</v>
      </c>
      <c r="D2" t="s">
        <v>423</v>
      </c>
    </row>
    <row r="4" spans="1:14" x14ac:dyDescent="0.25">
      <c r="A4" t="s">
        <v>33</v>
      </c>
      <c r="C4" s="53">
        <f>'Calculation SCREW'!C53</f>
        <v>0.1</v>
      </c>
      <c r="D4" s="54" t="s">
        <v>37</v>
      </c>
      <c r="I4">
        <f>IF((J8+J10)&gt;H6,1,0)</f>
        <v>0</v>
      </c>
    </row>
    <row r="5" spans="1:14" x14ac:dyDescent="0.25">
      <c r="A5" t="s">
        <v>38</v>
      </c>
      <c r="C5" s="55">
        <f>C4</f>
        <v>0.1</v>
      </c>
      <c r="D5" s="56" t="s">
        <v>37</v>
      </c>
      <c r="I5">
        <f>IF(I4=1,J5,C7)</f>
        <v>0.2</v>
      </c>
      <c r="J5">
        <f>I9*C4</f>
        <v>0.44721359549995798</v>
      </c>
    </row>
    <row r="6" spans="1:14" x14ac:dyDescent="0.25">
      <c r="A6" t="s">
        <v>39</v>
      </c>
      <c r="C6" s="55">
        <f>'Calculation SCREW'!C55</f>
        <v>2000</v>
      </c>
      <c r="D6" s="56" t="s">
        <v>10</v>
      </c>
      <c r="H6" s="55">
        <f>C6/1000</f>
        <v>2</v>
      </c>
    </row>
    <row r="7" spans="1:14" x14ac:dyDescent="0.25">
      <c r="A7" t="s">
        <v>32</v>
      </c>
      <c r="C7" s="55">
        <f>'Calculation SCREW'!C52</f>
        <v>0.2</v>
      </c>
      <c r="D7" s="56" t="s">
        <v>34</v>
      </c>
    </row>
    <row r="8" spans="1:14" x14ac:dyDescent="0.25">
      <c r="A8" t="s">
        <v>40</v>
      </c>
      <c r="C8" s="57">
        <f>1000*H8</f>
        <v>200</v>
      </c>
      <c r="D8" s="56" t="s">
        <v>10</v>
      </c>
      <c r="H8" s="58">
        <f>IF(I4=0,J8,I8)</f>
        <v>0.2</v>
      </c>
      <c r="I8">
        <f>H6*C5/(C5+C4)</f>
        <v>1</v>
      </c>
      <c r="J8" s="59">
        <f>C4*J9*J9/2</f>
        <v>0.2</v>
      </c>
      <c r="K8" s="15"/>
    </row>
    <row r="9" spans="1:14" x14ac:dyDescent="0.25">
      <c r="A9" t="s">
        <v>41</v>
      </c>
      <c r="C9" s="58">
        <f>IF(I4=0,J9,I9)</f>
        <v>2</v>
      </c>
      <c r="D9" s="56" t="s">
        <v>42</v>
      </c>
      <c r="I9">
        <f>SQRT(2*I8/C4)</f>
        <v>4.4721359549995796</v>
      </c>
      <c r="J9" s="59">
        <f>C7/C4</f>
        <v>2</v>
      </c>
    </row>
    <row r="10" spans="1:14" x14ac:dyDescent="0.25">
      <c r="A10" t="s">
        <v>43</v>
      </c>
      <c r="C10" s="57">
        <f>H10*1000</f>
        <v>200</v>
      </c>
      <c r="D10" s="56" t="s">
        <v>10</v>
      </c>
      <c r="H10" s="58">
        <f>IF(I4=0,J10,I10)</f>
        <v>0.2</v>
      </c>
      <c r="I10">
        <f>H6*C4/(C5+C4)</f>
        <v>1</v>
      </c>
      <c r="J10" s="59">
        <f>C5*J11*J11/2</f>
        <v>0.2</v>
      </c>
    </row>
    <row r="11" spans="1:14" x14ac:dyDescent="0.25">
      <c r="A11" t="s">
        <v>44</v>
      </c>
      <c r="C11" s="58">
        <f>IF(I4=0,J11,I11)</f>
        <v>2</v>
      </c>
      <c r="D11" s="56" t="s">
        <v>42</v>
      </c>
      <c r="I11">
        <f>SQRT(2*I10/C5)</f>
        <v>4.4721359549995796</v>
      </c>
      <c r="J11" s="59">
        <f>C7/C5</f>
        <v>2</v>
      </c>
      <c r="K11">
        <v>0</v>
      </c>
      <c r="L11" s="60">
        <f>H8*1000</f>
        <v>200</v>
      </c>
      <c r="M11" s="60">
        <f>L11+H12*1000</f>
        <v>1800</v>
      </c>
      <c r="N11">
        <f>H6*1000</f>
        <v>2000</v>
      </c>
    </row>
    <row r="12" spans="1:14" x14ac:dyDescent="0.25">
      <c r="A12" t="s">
        <v>45</v>
      </c>
      <c r="C12" s="57">
        <f>H12*1000</f>
        <v>1600</v>
      </c>
      <c r="D12" s="56" t="s">
        <v>10</v>
      </c>
      <c r="H12" s="58">
        <f>H6-H8-H10</f>
        <v>1.6</v>
      </c>
      <c r="J12" s="61" t="str">
        <f>IF((H8+H10)&gt;H6,"Du når ej önskad max hastighet"," ")</f>
        <v xml:space="preserve"> </v>
      </c>
      <c r="K12">
        <v>0</v>
      </c>
      <c r="L12">
        <f>I5</f>
        <v>0.2</v>
      </c>
      <c r="M12">
        <f>L12</f>
        <v>0.2</v>
      </c>
      <c r="N12">
        <v>0</v>
      </c>
    </row>
    <row r="13" spans="1:14" x14ac:dyDescent="0.25">
      <c r="A13" t="s">
        <v>46</v>
      </c>
      <c r="C13" s="58">
        <f>H12/C7</f>
        <v>8</v>
      </c>
      <c r="D13" s="56" t="s">
        <v>42</v>
      </c>
    </row>
    <row r="14" spans="1:14" x14ac:dyDescent="0.25">
      <c r="A14" t="s">
        <v>47</v>
      </c>
      <c r="C14" s="58">
        <f>IF(I4=0,J14,I14)</f>
        <v>12</v>
      </c>
      <c r="D14" s="56" t="s">
        <v>42</v>
      </c>
      <c r="I14">
        <f>I9+I11</f>
        <v>8.9442719099991592</v>
      </c>
      <c r="J14" s="62">
        <f>C11+C9+C13</f>
        <v>12</v>
      </c>
    </row>
    <row r="15" spans="1:14" x14ac:dyDescent="0.25">
      <c r="A15" t="s">
        <v>48</v>
      </c>
      <c r="C15" s="62">
        <f>H6/C14</f>
        <v>0.16666666666666666</v>
      </c>
      <c r="D15" s="63" t="s">
        <v>34</v>
      </c>
    </row>
    <row r="17" spans="1:14" x14ac:dyDescent="0.25">
      <c r="A17" s="61" t="str">
        <f>IF(I4=1,"You will not reach full speed"," ")</f>
        <v xml:space="preserve"> </v>
      </c>
    </row>
    <row r="18" spans="1:14" x14ac:dyDescent="0.25">
      <c r="A18" s="61" t="str">
        <f>IF(I4=1,"You will reach just"," ")</f>
        <v xml:space="preserve"> </v>
      </c>
      <c r="C18" s="64" t="str">
        <f>IF(I4=1,I9*C4," ")</f>
        <v xml:space="preserve"> </v>
      </c>
      <c r="D18" s="61" t="str">
        <f>IF(I4=1,"m/s"," ")</f>
        <v xml:space="preserve"> </v>
      </c>
    </row>
    <row r="20" spans="1:14" x14ac:dyDescent="0.25">
      <c r="B20" s="52" t="s">
        <v>36</v>
      </c>
      <c r="D20" t="s">
        <v>424</v>
      </c>
    </row>
    <row r="22" spans="1:14" x14ac:dyDescent="0.25">
      <c r="A22" t="s">
        <v>33</v>
      </c>
      <c r="C22" s="53">
        <f>'Calculation BELT'!C53</f>
        <v>2</v>
      </c>
      <c r="D22" s="54" t="s">
        <v>37</v>
      </c>
      <c r="I22">
        <f>IF((J26+J28)&gt;H24,1,0)</f>
        <v>0</v>
      </c>
    </row>
    <row r="23" spans="1:14" x14ac:dyDescent="0.25">
      <c r="A23" t="s">
        <v>38</v>
      </c>
      <c r="C23" s="55">
        <f>C22</f>
        <v>2</v>
      </c>
      <c r="D23" s="56" t="s">
        <v>37</v>
      </c>
      <c r="I23">
        <f>IF(I22=1,J23,C25)</f>
        <v>1.5</v>
      </c>
      <c r="J23">
        <f>I27*C22</f>
        <v>1.8973665961010275</v>
      </c>
    </row>
    <row r="24" spans="1:14" x14ac:dyDescent="0.25">
      <c r="A24" t="s">
        <v>39</v>
      </c>
      <c r="C24" s="55">
        <f>'Calculation BELT'!C55</f>
        <v>1800</v>
      </c>
      <c r="D24" s="56" t="s">
        <v>10</v>
      </c>
      <c r="H24" s="55">
        <f>C24/1000</f>
        <v>1.8</v>
      </c>
    </row>
    <row r="25" spans="1:14" x14ac:dyDescent="0.25">
      <c r="A25" t="s">
        <v>32</v>
      </c>
      <c r="C25" s="55">
        <f>'Calculation BELT'!C52</f>
        <v>1.5</v>
      </c>
      <c r="D25" s="56" t="s">
        <v>34</v>
      </c>
    </row>
    <row r="26" spans="1:14" x14ac:dyDescent="0.25">
      <c r="A26" t="s">
        <v>40</v>
      </c>
      <c r="C26" s="57">
        <f>1000*H26</f>
        <v>562.5</v>
      </c>
      <c r="D26" s="56" t="s">
        <v>10</v>
      </c>
      <c r="H26" s="58">
        <f>IF(I22=0,J26,I26)</f>
        <v>0.5625</v>
      </c>
      <c r="I26">
        <f>H24*C23/(C23+C22)</f>
        <v>0.9</v>
      </c>
      <c r="J26" s="59">
        <f>C22*J27*J27/2</f>
        <v>0.5625</v>
      </c>
      <c r="K26" s="15"/>
    </row>
    <row r="27" spans="1:14" x14ac:dyDescent="0.25">
      <c r="A27" t="s">
        <v>41</v>
      </c>
      <c r="C27" s="58">
        <f>IF(I22=0,J27,I27)</f>
        <v>0.75</v>
      </c>
      <c r="D27" s="56" t="s">
        <v>42</v>
      </c>
      <c r="I27">
        <f>SQRT(2*I26/C22)</f>
        <v>0.94868329805051377</v>
      </c>
      <c r="J27" s="59">
        <f>C25/C22</f>
        <v>0.75</v>
      </c>
    </row>
    <row r="28" spans="1:14" x14ac:dyDescent="0.25">
      <c r="A28" t="s">
        <v>43</v>
      </c>
      <c r="C28" s="57">
        <f>H28*1000</f>
        <v>562.5</v>
      </c>
      <c r="D28" s="56" t="s">
        <v>10</v>
      </c>
      <c r="H28" s="58">
        <f>IF(I22=0,J28,I28)</f>
        <v>0.5625</v>
      </c>
      <c r="I28">
        <f>H24*C22/(C23+C22)</f>
        <v>0.9</v>
      </c>
      <c r="J28" s="59">
        <f>C23*J29*J29/2</f>
        <v>0.5625</v>
      </c>
    </row>
    <row r="29" spans="1:14" x14ac:dyDescent="0.25">
      <c r="A29" t="s">
        <v>44</v>
      </c>
      <c r="C29" s="58">
        <f>IF(I22=0,J29,I29)</f>
        <v>0.75</v>
      </c>
      <c r="D29" s="56" t="s">
        <v>42</v>
      </c>
      <c r="I29">
        <f>SQRT(2*I28/C23)</f>
        <v>0.94868329805051377</v>
      </c>
      <c r="J29" s="59">
        <f>C25/C23</f>
        <v>0.75</v>
      </c>
      <c r="K29">
        <v>0</v>
      </c>
      <c r="L29" s="60">
        <f>H26*1000</f>
        <v>562.5</v>
      </c>
      <c r="M29" s="60">
        <f>L29+H30*1000</f>
        <v>1237.5</v>
      </c>
      <c r="N29">
        <f>H24*1000</f>
        <v>1800</v>
      </c>
    </row>
    <row r="30" spans="1:14" x14ac:dyDescent="0.25">
      <c r="A30" t="s">
        <v>45</v>
      </c>
      <c r="C30" s="57">
        <f>H30*1000</f>
        <v>675</v>
      </c>
      <c r="D30" s="56" t="s">
        <v>10</v>
      </c>
      <c r="H30" s="58">
        <f>H24-H26-H28</f>
        <v>0.67500000000000004</v>
      </c>
      <c r="J30" s="61" t="str">
        <f>IF((H26+H28)&gt;H24,"Du når ej önskad max hastighet"," ")</f>
        <v xml:space="preserve"> </v>
      </c>
      <c r="K30">
        <v>0</v>
      </c>
      <c r="L30">
        <f>I23</f>
        <v>1.5</v>
      </c>
      <c r="M30">
        <f>L30</f>
        <v>1.5</v>
      </c>
      <c r="N30">
        <v>0</v>
      </c>
    </row>
    <row r="31" spans="1:14" x14ac:dyDescent="0.25">
      <c r="A31" t="s">
        <v>46</v>
      </c>
      <c r="C31" s="58">
        <f>H30/C25</f>
        <v>0.45</v>
      </c>
      <c r="D31" s="56" t="s">
        <v>42</v>
      </c>
    </row>
    <row r="32" spans="1:14" x14ac:dyDescent="0.25">
      <c r="A32" t="s">
        <v>47</v>
      </c>
      <c r="C32" s="58">
        <f>IF(I22=0,J32,I32)</f>
        <v>1.95</v>
      </c>
      <c r="D32" s="56" t="s">
        <v>42</v>
      </c>
      <c r="I32">
        <f>I27+I29</f>
        <v>1.8973665961010275</v>
      </c>
      <c r="J32" s="62">
        <f>C29+C27+C31</f>
        <v>1.95</v>
      </c>
    </row>
    <row r="33" spans="1:14" x14ac:dyDescent="0.25">
      <c r="A33" t="s">
        <v>48</v>
      </c>
      <c r="C33" s="62">
        <f>H24/C32</f>
        <v>0.92307692307692313</v>
      </c>
      <c r="D33" s="63" t="s">
        <v>34</v>
      </c>
    </row>
    <row r="35" spans="1:14" x14ac:dyDescent="0.25">
      <c r="A35" s="61" t="str">
        <f>IF(I22=1,"You will not reach full speed"," ")</f>
        <v xml:space="preserve"> </v>
      </c>
    </row>
    <row r="36" spans="1:14" x14ac:dyDescent="0.25">
      <c r="A36" s="61" t="str">
        <f>IF(I22=1,"You will reach just"," ")</f>
        <v xml:space="preserve"> </v>
      </c>
      <c r="C36" s="64" t="str">
        <f>IF(I22=1,I27*C22," ")</f>
        <v xml:space="preserve"> </v>
      </c>
      <c r="D36" s="61" t="str">
        <f>IF(I22=1,"m/s"," ")</f>
        <v xml:space="preserve"> </v>
      </c>
    </row>
    <row r="37" spans="1:14" x14ac:dyDescent="0.25">
      <c r="B37" s="52" t="s">
        <v>36</v>
      </c>
      <c r="D37" t="s">
        <v>458</v>
      </c>
    </row>
    <row r="39" spans="1:14" x14ac:dyDescent="0.25">
      <c r="A39" t="s">
        <v>33</v>
      </c>
      <c r="C39" s="53">
        <f>'Calculation WV'!C53</f>
        <v>1.2</v>
      </c>
      <c r="D39" s="54" t="s">
        <v>37</v>
      </c>
      <c r="I39">
        <f>IF((J43+J45)&gt;H41,1,0)</f>
        <v>0</v>
      </c>
    </row>
    <row r="40" spans="1:14" x14ac:dyDescent="0.25">
      <c r="A40" t="s">
        <v>38</v>
      </c>
      <c r="C40" s="55">
        <f>C39</f>
        <v>1.2</v>
      </c>
      <c r="D40" s="56" t="s">
        <v>37</v>
      </c>
      <c r="I40">
        <f>IF(I39=1,J40,C42)</f>
        <v>0.6</v>
      </c>
      <c r="J40">
        <f>I44*C39</f>
        <v>1.6248076809271923</v>
      </c>
    </row>
    <row r="41" spans="1:14" x14ac:dyDescent="0.25">
      <c r="A41" t="s">
        <v>39</v>
      </c>
      <c r="C41" s="55">
        <f>'Calculation WV'!C55</f>
        <v>2200</v>
      </c>
      <c r="D41" s="56" t="s">
        <v>10</v>
      </c>
      <c r="H41" s="55">
        <f>C41/1000</f>
        <v>2.2000000000000002</v>
      </c>
    </row>
    <row r="42" spans="1:14" x14ac:dyDescent="0.25">
      <c r="A42" t="s">
        <v>32</v>
      </c>
      <c r="C42" s="55">
        <f>'Calculation WV'!C52</f>
        <v>0.6</v>
      </c>
      <c r="D42" s="56" t="s">
        <v>34</v>
      </c>
    </row>
    <row r="43" spans="1:14" x14ac:dyDescent="0.25">
      <c r="A43" t="s">
        <v>40</v>
      </c>
      <c r="C43" s="57">
        <f>1000*H43</f>
        <v>150</v>
      </c>
      <c r="D43" s="56" t="s">
        <v>10</v>
      </c>
      <c r="H43" s="58">
        <f>IF(I39=0,J43,I43)</f>
        <v>0.15</v>
      </c>
      <c r="I43">
        <f>H41*C40/(C40+C39)</f>
        <v>1.1000000000000001</v>
      </c>
      <c r="J43" s="59">
        <f>C39*J44*J44/2</f>
        <v>0.15</v>
      </c>
      <c r="K43" s="15"/>
    </row>
    <row r="44" spans="1:14" x14ac:dyDescent="0.25">
      <c r="A44" t="s">
        <v>41</v>
      </c>
      <c r="C44" s="58">
        <f>IF(I39=0,J44,I44)</f>
        <v>0.5</v>
      </c>
      <c r="D44" s="56" t="s">
        <v>42</v>
      </c>
      <c r="I44">
        <f>SQRT(2*I43/C39)</f>
        <v>1.3540064007726602</v>
      </c>
      <c r="J44" s="59">
        <f>C42/C39</f>
        <v>0.5</v>
      </c>
    </row>
    <row r="45" spans="1:14" x14ac:dyDescent="0.25">
      <c r="A45" t="s">
        <v>43</v>
      </c>
      <c r="C45" s="57">
        <f>H45*1000</f>
        <v>150</v>
      </c>
      <c r="D45" s="56" t="s">
        <v>10</v>
      </c>
      <c r="H45" s="58">
        <f>IF(I39=0,J45,I45)</f>
        <v>0.15</v>
      </c>
      <c r="I45">
        <f>H41*C39/(C40+C39)</f>
        <v>1.1000000000000001</v>
      </c>
      <c r="J45" s="59">
        <f>C40*J46*J46/2</f>
        <v>0.15</v>
      </c>
    </row>
    <row r="46" spans="1:14" x14ac:dyDescent="0.25">
      <c r="A46" t="s">
        <v>44</v>
      </c>
      <c r="C46" s="58">
        <f>IF(I39=0,J46,I46)</f>
        <v>0.5</v>
      </c>
      <c r="D46" s="56" t="s">
        <v>42</v>
      </c>
      <c r="I46">
        <f>SQRT(2*I45/C40)</f>
        <v>1.3540064007726602</v>
      </c>
      <c r="J46" s="59">
        <f>C42/C40</f>
        <v>0.5</v>
      </c>
      <c r="K46">
        <v>0</v>
      </c>
      <c r="L46" s="60">
        <f>H43*1000</f>
        <v>150</v>
      </c>
      <c r="M46" s="60">
        <f>L46+H47*1000</f>
        <v>2050.0000000000005</v>
      </c>
      <c r="N46">
        <f>H41*1000</f>
        <v>2200</v>
      </c>
    </row>
    <row r="47" spans="1:14" x14ac:dyDescent="0.25">
      <c r="A47" t="s">
        <v>45</v>
      </c>
      <c r="C47" s="57">
        <f>H47*1000</f>
        <v>1900.0000000000005</v>
      </c>
      <c r="D47" s="56" t="s">
        <v>10</v>
      </c>
      <c r="H47" s="58">
        <f>H41-H43-H45</f>
        <v>1.9000000000000004</v>
      </c>
      <c r="J47" s="61" t="str">
        <f>IF((H43+H45)&gt;H41,"Du når ej önskad max hastighet"," ")</f>
        <v xml:space="preserve"> </v>
      </c>
      <c r="K47">
        <v>0</v>
      </c>
      <c r="L47">
        <f>I40</f>
        <v>0.6</v>
      </c>
      <c r="M47">
        <f>L47</f>
        <v>0.6</v>
      </c>
      <c r="N47">
        <v>0</v>
      </c>
    </row>
    <row r="48" spans="1:14" x14ac:dyDescent="0.25">
      <c r="A48" t="s">
        <v>46</v>
      </c>
      <c r="C48" s="58">
        <f>H47/C42</f>
        <v>3.1666666666666674</v>
      </c>
      <c r="D48" s="56" t="s">
        <v>42</v>
      </c>
    </row>
    <row r="49" spans="1:10" x14ac:dyDescent="0.25">
      <c r="A49" t="s">
        <v>47</v>
      </c>
      <c r="C49" s="58">
        <f>IF(I39=0,J49,I49)</f>
        <v>4.1666666666666679</v>
      </c>
      <c r="D49" s="56" t="s">
        <v>42</v>
      </c>
      <c r="I49">
        <f>I44+I46</f>
        <v>2.7080128015453204</v>
      </c>
      <c r="J49" s="62">
        <f>C46+C44+C48</f>
        <v>4.1666666666666679</v>
      </c>
    </row>
    <row r="50" spans="1:10" x14ac:dyDescent="0.25">
      <c r="A50" t="s">
        <v>48</v>
      </c>
      <c r="C50" s="62">
        <f>H41/C49</f>
        <v>0.52799999999999991</v>
      </c>
      <c r="D50" s="63" t="s">
        <v>34</v>
      </c>
    </row>
  </sheetData>
  <conditionalFormatting sqref="C18">
    <cfRule type="expression" dxfId="11" priority="2" stopIfTrue="1">
      <formula>$I$88=1</formula>
    </cfRule>
  </conditionalFormatting>
  <conditionalFormatting sqref="C36">
    <cfRule type="expression" dxfId="10" priority="1" stopIfTrue="1">
      <formula>$I$88=1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297"/>
  <sheetViews>
    <sheetView topLeftCell="A79" zoomScale="110" zoomScaleNormal="110" workbookViewId="0">
      <selection activeCell="CQ87" sqref="CQ87"/>
    </sheetView>
  </sheetViews>
  <sheetFormatPr defaultColWidth="9.140625" defaultRowHeight="14.25" zeroHeight="1" x14ac:dyDescent="0.2"/>
  <cols>
    <col min="1" max="1" width="9.42578125" style="17" customWidth="1"/>
    <col min="2" max="2" width="9.140625" style="17" customWidth="1"/>
    <col min="3" max="3" width="10.5703125" style="17" bestFit="1" customWidth="1"/>
    <col min="4" max="4" width="10" style="17" customWidth="1"/>
    <col min="5" max="9" width="9.140625" style="17" customWidth="1"/>
    <col min="10" max="10" width="8.7109375" style="17" customWidth="1"/>
    <col min="11" max="19" width="9.140625" style="17" hidden="1" customWidth="1"/>
    <col min="20" max="20" width="11.28515625" style="17" hidden="1" customWidth="1"/>
    <col min="21" max="21" width="9.140625" style="17" hidden="1" customWidth="1"/>
    <col min="22" max="22" width="10.5703125" style="17" hidden="1" customWidth="1"/>
    <col min="23" max="23" width="11.5703125" style="17" hidden="1" customWidth="1"/>
    <col min="24" max="27" width="9.140625" style="17" hidden="1" customWidth="1"/>
    <col min="28" max="28" width="11.7109375" style="17" hidden="1" customWidth="1"/>
    <col min="29" max="41" width="9.140625" style="17" hidden="1" customWidth="1"/>
    <col min="42" max="42" width="11.5703125" style="17" hidden="1" customWidth="1"/>
    <col min="43" max="48" width="9.140625" style="17" hidden="1" customWidth="1"/>
    <col min="49" max="49" width="10.85546875" style="17" hidden="1" customWidth="1"/>
    <col min="50" max="50" width="9.140625" style="17" hidden="1" customWidth="1"/>
    <col min="51" max="51" width="10.5703125" style="17" hidden="1" customWidth="1"/>
    <col min="52" max="52" width="9.140625" style="17" hidden="1" customWidth="1"/>
    <col min="53" max="53" width="15.85546875" style="17" hidden="1" customWidth="1"/>
    <col min="54" max="93" width="9.140625" style="17" hidden="1" customWidth="1"/>
    <col min="94" max="103" width="9.140625" style="17" customWidth="1"/>
    <col min="104" max="16384" width="9.140625" style="17"/>
  </cols>
  <sheetData>
    <row r="1" spans="1:80" ht="39.75" customHeight="1" x14ac:dyDescent="0.3">
      <c r="A1" s="1" t="s">
        <v>446</v>
      </c>
      <c r="B1" s="2"/>
      <c r="C1" s="2"/>
      <c r="D1" s="3" t="s">
        <v>0</v>
      </c>
      <c r="E1" s="2"/>
      <c r="F1" s="2"/>
      <c r="G1" s="2"/>
      <c r="H1" s="2"/>
      <c r="I1" s="4" t="s">
        <v>459</v>
      </c>
      <c r="J1" s="5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89"/>
      <c r="AT1" s="289"/>
      <c r="AU1" s="289"/>
      <c r="AV1" s="289"/>
      <c r="AW1" s="289"/>
      <c r="AX1" s="289"/>
      <c r="AY1" s="290"/>
      <c r="AZ1" s="289"/>
      <c r="BA1" s="289"/>
      <c r="BB1" s="289"/>
      <c r="BC1" s="289"/>
      <c r="BD1" s="289"/>
      <c r="BE1" s="289"/>
      <c r="BF1" s="289"/>
      <c r="BG1" s="289"/>
      <c r="BH1" s="289"/>
      <c r="BI1" s="291"/>
      <c r="BJ1" s="289"/>
      <c r="BK1" s="289"/>
      <c r="BL1" s="289"/>
      <c r="BM1" s="289"/>
      <c r="BN1" s="289"/>
      <c r="BO1" s="289"/>
      <c r="BP1" s="289"/>
      <c r="BQ1" s="289"/>
      <c r="BR1" s="289"/>
      <c r="BS1" s="289"/>
      <c r="BT1" s="289"/>
      <c r="BU1" s="289"/>
      <c r="BV1" s="289"/>
      <c r="BW1" s="289"/>
      <c r="BX1" s="289"/>
      <c r="BY1" s="289"/>
      <c r="BZ1" s="289"/>
      <c r="CA1" s="289"/>
      <c r="CB1" s="289"/>
    </row>
    <row r="2" spans="1:80" ht="40.5" customHeight="1" x14ac:dyDescent="0.25">
      <c r="A2" s="195" t="s">
        <v>447</v>
      </c>
      <c r="B2" s="2"/>
      <c r="C2" s="2"/>
      <c r="E2" s="6"/>
      <c r="F2" s="7"/>
      <c r="G2" s="7"/>
      <c r="H2" s="7"/>
      <c r="I2" s="2"/>
      <c r="J2" s="5"/>
      <c r="K2" s="289"/>
      <c r="X2" s="292" t="s">
        <v>53</v>
      </c>
      <c r="Y2" s="292"/>
      <c r="Z2" s="292" t="s">
        <v>282</v>
      </c>
      <c r="AA2" s="292"/>
      <c r="AB2" s="293" t="s">
        <v>62</v>
      </c>
      <c r="AC2" s="293" t="s">
        <v>54</v>
      </c>
      <c r="AD2" s="293" t="s">
        <v>55</v>
      </c>
      <c r="AE2" s="293" t="s">
        <v>56</v>
      </c>
      <c r="AF2" s="293" t="s">
        <v>57</v>
      </c>
      <c r="AG2" s="293" t="s">
        <v>58</v>
      </c>
      <c r="AH2" s="293" t="s">
        <v>59</v>
      </c>
      <c r="AI2" s="293" t="s">
        <v>60</v>
      </c>
      <c r="AJ2" s="293" t="s">
        <v>32</v>
      </c>
      <c r="AK2" s="292" t="s">
        <v>61</v>
      </c>
      <c r="AL2" s="292"/>
      <c r="AM2" s="294" t="s">
        <v>270</v>
      </c>
      <c r="AN2" s="292" t="s">
        <v>80</v>
      </c>
      <c r="AO2" s="292"/>
      <c r="AP2" s="292"/>
      <c r="AQ2" s="295"/>
      <c r="AR2" s="296"/>
      <c r="AS2" s="297"/>
      <c r="AT2" s="297"/>
      <c r="AU2" s="292"/>
      <c r="AV2" s="292"/>
      <c r="AW2" s="292" t="s">
        <v>294</v>
      </c>
      <c r="AX2" s="292" t="s">
        <v>308</v>
      </c>
      <c r="AY2" s="292" t="s">
        <v>309</v>
      </c>
      <c r="AZ2" s="292"/>
      <c r="BA2" s="292" t="s">
        <v>324</v>
      </c>
      <c r="BB2" s="292" t="s">
        <v>325</v>
      </c>
      <c r="BC2" s="292" t="s">
        <v>358</v>
      </c>
      <c r="BD2" s="297"/>
      <c r="BE2" s="292"/>
      <c r="BF2" s="292"/>
      <c r="BG2" s="292"/>
      <c r="BH2" s="292"/>
      <c r="BL2" s="17" t="s">
        <v>221</v>
      </c>
    </row>
    <row r="3" spans="1:80" ht="15" x14ac:dyDescent="0.25">
      <c r="A3" s="298" t="s">
        <v>1</v>
      </c>
      <c r="B3" s="470"/>
      <c r="C3" s="470"/>
      <c r="D3" s="470"/>
      <c r="E3" s="47"/>
      <c r="F3" s="47"/>
      <c r="G3" s="47"/>
      <c r="H3" s="8"/>
      <c r="I3" s="18"/>
      <c r="J3" s="9"/>
      <c r="K3" s="289"/>
      <c r="Y3" s="108"/>
      <c r="Z3" s="108"/>
      <c r="AA3" s="108"/>
      <c r="AL3" s="293"/>
      <c r="AM3" s="293"/>
      <c r="AN3" s="293" t="s">
        <v>81</v>
      </c>
      <c r="AO3" s="293" t="s">
        <v>82</v>
      </c>
      <c r="AP3" s="293"/>
      <c r="AQ3" s="293" t="s">
        <v>64</v>
      </c>
      <c r="AR3" s="293" t="s">
        <v>65</v>
      </c>
      <c r="AT3" s="23"/>
      <c r="AW3" s="293"/>
      <c r="AX3" s="293"/>
      <c r="AY3" s="293"/>
      <c r="AZ3" s="293"/>
      <c r="BA3" s="293"/>
      <c r="BB3" s="293"/>
      <c r="BC3" s="293"/>
      <c r="BE3" s="293"/>
      <c r="BF3" s="293"/>
      <c r="BG3" s="293"/>
      <c r="BH3" s="293"/>
      <c r="BL3" s="49"/>
    </row>
    <row r="4" spans="1:80" ht="15" x14ac:dyDescent="0.25">
      <c r="A4" s="298" t="s">
        <v>2</v>
      </c>
      <c r="B4" s="471"/>
      <c r="C4" s="471"/>
      <c r="D4" s="471"/>
      <c r="E4" s="47"/>
      <c r="F4" s="47"/>
      <c r="G4" s="47"/>
      <c r="H4" s="8"/>
      <c r="I4" s="10"/>
      <c r="J4" s="9"/>
      <c r="K4" s="289"/>
      <c r="Q4" s="299">
        <v>1</v>
      </c>
      <c r="R4" s="17" t="str">
        <f>VLOOKUP($Q$4,$Q$5:R9,R10)</f>
        <v>WV60</v>
      </c>
      <c r="S4" s="17" t="str">
        <f>VLOOKUP($Q$4,$Q$5:S9,S10)</f>
        <v>Ball screw Ø20 with double ball nuts</v>
      </c>
      <c r="T4" s="17">
        <f>VLOOKUP($Q$4,$Q$5:T9,T10)</f>
        <v>0</v>
      </c>
      <c r="U4" s="17">
        <f>VLOOKUP($Q$4,$Q$5:U9,U10)</f>
        <v>0</v>
      </c>
      <c r="V4" s="17">
        <f>VLOOKUP($Q$4,$Q$5:V9,V10)</f>
        <v>0</v>
      </c>
      <c r="W4" s="17">
        <f>VLOOKUP($Q$4,$Q$5:W9,W10)</f>
        <v>0.01</v>
      </c>
      <c r="X4" s="17">
        <f>VLOOKUP($Q$4,$Q$5:X9,X10)</f>
        <v>11000</v>
      </c>
      <c r="Y4" s="108">
        <f>VLOOKUP($Q$4,$Q$5:Y9,Y10)</f>
        <v>0</v>
      </c>
      <c r="Z4" s="108">
        <f>VLOOKUP($Q$4,$Q$5:Z9,Z10)</f>
        <v>570</v>
      </c>
      <c r="AA4" s="108">
        <f>VLOOKUP($Q$4,$Q$5:AA9,AA10)</f>
        <v>0</v>
      </c>
      <c r="AB4" s="17">
        <f>VLOOKUP($Q$4,$Q$5:AB9,AB10)</f>
        <v>4000</v>
      </c>
      <c r="AC4" s="17">
        <f>VLOOKUP($Q$4,$Q$5:AC9,AC10)*S13</f>
        <v>0</v>
      </c>
      <c r="AD4" s="17">
        <f>VLOOKUP($Q$4,$Q$5:AD9,AD10)*S13</f>
        <v>0</v>
      </c>
      <c r="AE4" s="17">
        <f>VLOOKUP($Q$4,$Q$5:AE9,AE10)</f>
        <v>0</v>
      </c>
      <c r="AF4" s="17">
        <f>VLOOKUP($Q$4,$Q$5:AF9,AF10)</f>
        <v>0</v>
      </c>
      <c r="AG4" s="17">
        <f>VLOOKUP($Q$4,$Q$5:AG9,AG10)</f>
        <v>0</v>
      </c>
      <c r="AH4" s="17">
        <f>VLOOKUP($Q$4,$Q$5:AH9,AH10)</f>
        <v>500</v>
      </c>
      <c r="AI4" s="17">
        <f>VLOOKUP($Q$4,$Q$5:AI9,AI10)</f>
        <v>35</v>
      </c>
      <c r="AJ4" s="17">
        <f>VLOOKUP($Q$4,$Q$5:AJ9,AJ10)</f>
        <v>2.5</v>
      </c>
      <c r="AK4" s="17">
        <f>VLOOKUP($Q$4,$Q$5:AK9,AK10)</f>
        <v>20</v>
      </c>
      <c r="AL4" s="17">
        <f>VLOOKUP($Q$4,$Q$5:AL9,AL10)</f>
        <v>0</v>
      </c>
      <c r="AM4" s="17">
        <f>VLOOKUP($Q$4,$Q$5:AM9,AM10)</f>
        <v>1.42</v>
      </c>
      <c r="AN4" s="17">
        <f>VLOOKUP($Q$4,$Q$5:AN9,AN10)</f>
        <v>4.72</v>
      </c>
      <c r="AO4" s="17">
        <f>VLOOKUP($Q$4,$Q$5:AO9,AO10)</f>
        <v>0.55000000000000004</v>
      </c>
      <c r="AP4" s="17">
        <f>VLOOKUP($Q$4,$Q$5:AP9,AP10)</f>
        <v>0</v>
      </c>
      <c r="AQ4" s="17">
        <f>VLOOKUP($Q$4,$Q$5:AQ9,AQ10)</f>
        <v>0</v>
      </c>
      <c r="AR4" s="17">
        <f>VLOOKUP($Q$4,$Q$5:AR9,AR10)</f>
        <v>0</v>
      </c>
      <c r="AS4" s="17" t="str">
        <f>VLOOKUP($Q$4,$Q$5:AS9,AS10)</f>
        <v>WV06D</v>
      </c>
      <c r="AT4" s="17">
        <f>VLOOKUP($Q$4,$Q$5:AT9,AT10)</f>
        <v>0</v>
      </c>
      <c r="AU4" s="17">
        <f>VLOOKUP($Q$4,$Q$5:AU9,AU10)</f>
        <v>0</v>
      </c>
      <c r="AV4" s="17">
        <f>VLOOKUP($Q$4,$Q$5:AV9,AV10)</f>
        <v>0</v>
      </c>
      <c r="AW4" s="293">
        <f>BO21</f>
        <v>11600</v>
      </c>
      <c r="AX4" s="293">
        <f>VLOOKUP($Q$4,$Q$5:AX9,AX10)</f>
        <v>400</v>
      </c>
      <c r="AY4" s="293">
        <f>VLOOKUP($Q$4,$Q$5:AY9,AY10)</f>
        <v>500</v>
      </c>
      <c r="AZ4" s="17" t="str">
        <f>VLOOKUP($Q$4,$Q$5:AZ9,AZ10)</f>
        <v>7205 BEP</v>
      </c>
      <c r="BA4" s="293">
        <f>VLOOKUP($Q$4,$Q$5:BA9,BA10)</f>
        <v>20200</v>
      </c>
      <c r="BB4" s="293">
        <f>VLOOKUP($Q$4,$Q$5:BB9,BB10)</f>
        <v>20</v>
      </c>
      <c r="BC4" s="17">
        <f>VLOOKUP($Q$4,$Q$5:BC9,BC10)</f>
        <v>8.460000000000001E-5</v>
      </c>
      <c r="BD4" s="17">
        <f>VLOOKUP($Q$4,$Q$5:BD9,BD10)</f>
        <v>0</v>
      </c>
      <c r="BE4" s="17">
        <f>VLOOKUP($Q$4,$Q$5:BE9,BE10)</f>
        <v>0</v>
      </c>
      <c r="BF4" s="17">
        <f>VLOOKUP($Q$4,$Q$5:BF9,BF10)</f>
        <v>0</v>
      </c>
      <c r="BG4" s="17">
        <f>VLOOKUP($Q$4,$Q$5:BG9,BG10)</f>
        <v>0</v>
      </c>
      <c r="BH4" s="17">
        <f>VLOOKUP($Q$4,$Q$5:BH9,BH10)</f>
        <v>0</v>
      </c>
      <c r="BI4" s="17">
        <f>VLOOKUP($Q$4,$Q$5:BI9,BI10)</f>
        <v>0</v>
      </c>
    </row>
    <row r="5" spans="1:80" ht="15" x14ac:dyDescent="0.25">
      <c r="A5" s="298" t="s">
        <v>3</v>
      </c>
      <c r="B5" s="472"/>
      <c r="C5" s="472"/>
      <c r="D5" s="472"/>
      <c r="E5" s="48" t="s">
        <v>4</v>
      </c>
      <c r="F5" s="470" t="s">
        <v>5</v>
      </c>
      <c r="G5" s="470"/>
      <c r="H5" s="8"/>
      <c r="I5" s="18"/>
      <c r="J5" s="9"/>
      <c r="K5" s="289"/>
      <c r="Q5" s="293">
        <v>1</v>
      </c>
      <c r="R5" s="17" t="s">
        <v>443</v>
      </c>
      <c r="S5" s="17" t="s">
        <v>263</v>
      </c>
      <c r="W5" s="17">
        <v>0.01</v>
      </c>
      <c r="X5" s="300">
        <f>IF($BO$16=50,5000,11000)</f>
        <v>11000</v>
      </c>
      <c r="Y5" s="108"/>
      <c r="Z5" s="108">
        <f>AR17</f>
        <v>570</v>
      </c>
      <c r="AA5" s="108"/>
      <c r="AB5" s="17">
        <v>4000</v>
      </c>
      <c r="AC5" s="17">
        <v>0</v>
      </c>
      <c r="AD5" s="17">
        <v>0</v>
      </c>
      <c r="AE5" s="17">
        <v>0</v>
      </c>
      <c r="AF5" s="17">
        <v>0</v>
      </c>
      <c r="AG5" s="17">
        <v>0</v>
      </c>
      <c r="AH5" s="17">
        <v>500</v>
      </c>
      <c r="AI5" s="17">
        <v>35</v>
      </c>
      <c r="AJ5" s="17">
        <v>2.5</v>
      </c>
      <c r="AK5" s="17">
        <v>20</v>
      </c>
      <c r="AM5" s="17">
        <v>1.42</v>
      </c>
      <c r="AN5" s="17">
        <v>4.72</v>
      </c>
      <c r="AO5" s="17">
        <v>0.55000000000000004</v>
      </c>
      <c r="AS5" s="17" t="s">
        <v>454</v>
      </c>
      <c r="AT5" s="108"/>
      <c r="AX5" s="108">
        <v>400</v>
      </c>
      <c r="AY5" s="301">
        <v>500</v>
      </c>
      <c r="AZ5" s="17" t="s">
        <v>314</v>
      </c>
      <c r="BA5" s="17">
        <v>20200</v>
      </c>
      <c r="BB5" s="17">
        <v>20</v>
      </c>
      <c r="BC5" s="17">
        <f>8.46*10^-5</f>
        <v>8.460000000000001E-5</v>
      </c>
      <c r="BE5" s="293"/>
      <c r="BF5" s="293"/>
      <c r="BG5" s="293"/>
      <c r="BH5" s="293"/>
      <c r="BI5" s="293"/>
    </row>
    <row r="6" spans="1:80" x14ac:dyDescent="0.2">
      <c r="A6" s="12"/>
      <c r="B6" s="5"/>
      <c r="C6" s="5"/>
      <c r="D6" s="5"/>
      <c r="E6" s="5"/>
      <c r="F6" s="9"/>
      <c r="G6" s="9"/>
      <c r="H6" s="9"/>
      <c r="I6" s="18"/>
      <c r="J6" s="9"/>
      <c r="K6" s="289"/>
      <c r="Q6" s="293">
        <v>2</v>
      </c>
      <c r="R6" s="17" t="s">
        <v>444</v>
      </c>
      <c r="S6" s="17" t="s">
        <v>265</v>
      </c>
      <c r="W6" s="17">
        <v>0.01</v>
      </c>
      <c r="X6" s="300">
        <f t="shared" ref="X6" si="0">IF($BO$16=50,5000,11000)</f>
        <v>11000</v>
      </c>
      <c r="Y6" s="108"/>
      <c r="Z6" s="108">
        <f>AX17</f>
        <v>505</v>
      </c>
      <c r="AA6" s="108"/>
      <c r="AB6" s="17">
        <v>5000</v>
      </c>
      <c r="AC6" s="17">
        <v>0</v>
      </c>
      <c r="AD6" s="17">
        <v>0</v>
      </c>
      <c r="AE6" s="17">
        <v>0</v>
      </c>
      <c r="AF6" s="17">
        <v>0</v>
      </c>
      <c r="AG6" s="17">
        <v>0</v>
      </c>
      <c r="AH6" s="17">
        <v>700</v>
      </c>
      <c r="AI6" s="17">
        <v>55</v>
      </c>
      <c r="AJ6" s="17">
        <v>2.5</v>
      </c>
      <c r="AK6" s="17">
        <v>20</v>
      </c>
      <c r="AM6" s="17">
        <v>2.25</v>
      </c>
      <c r="AN6" s="17">
        <v>7.95</v>
      </c>
      <c r="AO6" s="17">
        <v>0.99</v>
      </c>
      <c r="AS6" s="17" t="s">
        <v>455</v>
      </c>
      <c r="AT6" s="108"/>
      <c r="AX6" s="108">
        <v>500</v>
      </c>
      <c r="AY6" s="301">
        <v>700</v>
      </c>
      <c r="AZ6" s="17" t="s">
        <v>315</v>
      </c>
      <c r="BA6" s="17">
        <v>21700</v>
      </c>
      <c r="BB6" s="17">
        <v>25</v>
      </c>
      <c r="BC6" s="17">
        <f>2.25*10^-4</f>
        <v>2.2500000000000002E-4</v>
      </c>
      <c r="BE6" s="293"/>
      <c r="BF6" s="293"/>
      <c r="BG6" s="293"/>
      <c r="BH6" s="293"/>
      <c r="BI6" s="293"/>
    </row>
    <row r="7" spans="1:80" ht="15.75" x14ac:dyDescent="0.25">
      <c r="A7" s="13" t="s">
        <v>6</v>
      </c>
      <c r="B7" s="5"/>
      <c r="C7" s="14"/>
      <c r="D7" s="5"/>
      <c r="E7" s="5"/>
      <c r="F7" s="9"/>
      <c r="G7" s="9"/>
      <c r="H7" s="9"/>
      <c r="I7" s="18"/>
      <c r="J7" s="9"/>
      <c r="K7" s="289"/>
      <c r="Q7" s="293">
        <v>3</v>
      </c>
      <c r="R7" s="17" t="s">
        <v>445</v>
      </c>
      <c r="S7" s="17" t="s">
        <v>268</v>
      </c>
      <c r="W7" s="17">
        <v>0.01</v>
      </c>
      <c r="X7" s="300">
        <f>IF($BO$16=40,5000,11000)</f>
        <v>11000</v>
      </c>
      <c r="Y7" s="108"/>
      <c r="Z7" s="108">
        <f>BD17</f>
        <v>640</v>
      </c>
      <c r="AA7" s="108"/>
      <c r="AB7" s="17">
        <f>IF(BO16=40,8000,12000)</f>
        <v>12000</v>
      </c>
      <c r="AC7" s="17">
        <v>0</v>
      </c>
      <c r="AD7" s="17">
        <v>0</v>
      </c>
      <c r="AE7" s="17">
        <v>0</v>
      </c>
      <c r="AF7" s="17">
        <v>0</v>
      </c>
      <c r="AG7" s="17">
        <v>0</v>
      </c>
      <c r="AH7" s="17">
        <v>1000</v>
      </c>
      <c r="AI7" s="17">
        <v>80</v>
      </c>
      <c r="AJ7" s="17">
        <v>2</v>
      </c>
      <c r="AK7" s="17">
        <v>20</v>
      </c>
      <c r="AM7" s="17">
        <v>4.75</v>
      </c>
      <c r="AN7" s="17">
        <v>18.100000000000001</v>
      </c>
      <c r="AO7" s="17">
        <v>1.94</v>
      </c>
      <c r="AS7" s="17" t="s">
        <v>456</v>
      </c>
      <c r="AT7" s="108"/>
      <c r="AX7" s="108">
        <v>1200</v>
      </c>
      <c r="AY7" s="301">
        <v>1500</v>
      </c>
      <c r="AZ7" s="17" t="s">
        <v>316</v>
      </c>
      <c r="BA7" s="17">
        <v>34500</v>
      </c>
      <c r="BB7" s="17">
        <v>32</v>
      </c>
      <c r="BC7" s="293">
        <f>6.34*10^-4</f>
        <v>6.3400000000000001E-4</v>
      </c>
      <c r="BE7" s="293"/>
      <c r="BF7" s="293"/>
      <c r="BG7" s="293"/>
      <c r="BH7" s="293"/>
      <c r="BI7" s="293"/>
    </row>
    <row r="8" spans="1:80" x14ac:dyDescent="0.2">
      <c r="A8" s="25"/>
      <c r="B8" s="26" t="s">
        <v>7</v>
      </c>
      <c r="C8" s="302"/>
      <c r="D8" s="303"/>
      <c r="E8" s="5"/>
      <c r="F8" s="9"/>
      <c r="G8" s="9"/>
      <c r="H8" s="9"/>
      <c r="I8" s="18"/>
      <c r="J8" s="9"/>
      <c r="K8" s="289"/>
      <c r="Q8" s="293">
        <v>4</v>
      </c>
      <c r="U8" s="300"/>
      <c r="Y8" s="108"/>
      <c r="Z8" s="108"/>
      <c r="AA8" s="108"/>
      <c r="AQ8" s="108"/>
      <c r="AU8" s="108"/>
      <c r="AV8" s="304"/>
      <c r="AY8" s="23"/>
      <c r="BB8" s="23"/>
      <c r="BC8" s="293"/>
      <c r="BD8" s="293"/>
      <c r="BE8" s="293"/>
      <c r="BF8" s="293"/>
    </row>
    <row r="9" spans="1:80" x14ac:dyDescent="0.2">
      <c r="E9" s="5"/>
      <c r="F9" s="9"/>
      <c r="G9" s="9"/>
      <c r="H9" s="9"/>
      <c r="I9" s="18"/>
      <c r="J9" s="9"/>
      <c r="K9" s="289"/>
      <c r="Q9" s="293">
        <v>5</v>
      </c>
      <c r="U9" s="300"/>
      <c r="X9" s="300"/>
      <c r="Y9" s="108"/>
      <c r="Z9" s="108"/>
      <c r="AA9" s="108"/>
      <c r="AB9" s="300"/>
      <c r="AQ9" s="108"/>
      <c r="AU9" s="108"/>
      <c r="AV9" s="304"/>
      <c r="AY9" s="23"/>
      <c r="BB9" s="23"/>
      <c r="BD9" s="293"/>
      <c r="BE9" s="293"/>
      <c r="BF9" s="293"/>
    </row>
    <row r="10" spans="1:80" ht="15" x14ac:dyDescent="0.25">
      <c r="A10" s="25"/>
      <c r="B10" s="26" t="s">
        <v>8</v>
      </c>
      <c r="C10" s="305" t="s">
        <v>448</v>
      </c>
      <c r="D10" s="46"/>
      <c r="E10" s="5"/>
      <c r="F10" s="5"/>
      <c r="G10" s="5"/>
      <c r="H10" s="5"/>
      <c r="I10" s="5"/>
      <c r="J10" s="5"/>
      <c r="K10" s="289"/>
      <c r="Q10" s="293">
        <v>1</v>
      </c>
      <c r="R10" s="293">
        <v>2</v>
      </c>
      <c r="S10" s="293">
        <v>3</v>
      </c>
      <c r="T10" s="293">
        <v>4</v>
      </c>
      <c r="U10" s="293">
        <v>5</v>
      </c>
      <c r="V10" s="293">
        <v>6</v>
      </c>
      <c r="W10" s="293">
        <v>7</v>
      </c>
      <c r="X10" s="293">
        <v>8</v>
      </c>
      <c r="Y10" s="293">
        <v>9</v>
      </c>
      <c r="Z10" s="293">
        <v>10</v>
      </c>
      <c r="AA10" s="293">
        <v>11</v>
      </c>
      <c r="AB10" s="293">
        <v>12</v>
      </c>
      <c r="AC10" s="293">
        <v>13</v>
      </c>
      <c r="AD10" s="293">
        <v>14</v>
      </c>
      <c r="AE10" s="293">
        <v>15</v>
      </c>
      <c r="AF10" s="293">
        <v>16</v>
      </c>
      <c r="AG10" s="293">
        <v>17</v>
      </c>
      <c r="AH10" s="293">
        <v>18</v>
      </c>
      <c r="AI10" s="293">
        <v>19</v>
      </c>
      <c r="AJ10" s="293">
        <v>20</v>
      </c>
      <c r="AK10" s="293">
        <v>21</v>
      </c>
      <c r="AL10" s="293">
        <v>22</v>
      </c>
      <c r="AM10" s="293">
        <v>23</v>
      </c>
      <c r="AN10" s="293">
        <v>24</v>
      </c>
      <c r="AO10" s="293">
        <v>25</v>
      </c>
      <c r="AP10" s="293">
        <v>26</v>
      </c>
      <c r="AQ10" s="293">
        <v>27</v>
      </c>
      <c r="AR10" s="293">
        <v>28</v>
      </c>
      <c r="AS10" s="293">
        <v>29</v>
      </c>
      <c r="AT10" s="293">
        <v>30</v>
      </c>
      <c r="AU10" s="293">
        <v>31</v>
      </c>
      <c r="AV10" s="293">
        <v>32</v>
      </c>
      <c r="AW10" s="293">
        <v>33</v>
      </c>
      <c r="AX10" s="293">
        <v>34</v>
      </c>
      <c r="AY10" s="293">
        <v>35</v>
      </c>
      <c r="AZ10" s="293">
        <v>36</v>
      </c>
      <c r="BA10" s="293">
        <v>37</v>
      </c>
      <c r="BB10" s="293">
        <v>38</v>
      </c>
      <c r="BC10" s="293">
        <v>39</v>
      </c>
      <c r="BD10" s="293">
        <v>40</v>
      </c>
      <c r="BE10" s="293">
        <v>41</v>
      </c>
      <c r="BF10" s="293">
        <v>42</v>
      </c>
      <c r="BG10" s="293">
        <v>43</v>
      </c>
      <c r="BH10" s="293">
        <v>44</v>
      </c>
      <c r="BI10" s="293">
        <v>45</v>
      </c>
    </row>
    <row r="11" spans="1:80" ht="15" x14ac:dyDescent="0.25">
      <c r="A11" s="25"/>
      <c r="B11" s="33" t="s">
        <v>98</v>
      </c>
      <c r="C11" s="305" t="str">
        <f>S4</f>
        <v>Ball screw Ø20 with double ball nuts</v>
      </c>
      <c r="D11" s="29"/>
      <c r="F11" s="29"/>
      <c r="G11" s="30"/>
      <c r="H11" s="31"/>
      <c r="I11" s="29"/>
      <c r="J11" s="29"/>
      <c r="K11" s="289"/>
    </row>
    <row r="12" spans="1:80" ht="15" x14ac:dyDescent="0.25">
      <c r="B12" s="23" t="s">
        <v>269</v>
      </c>
      <c r="F12" s="29"/>
      <c r="G12" s="30"/>
      <c r="H12" s="32"/>
      <c r="I12" s="29"/>
      <c r="J12" s="29"/>
      <c r="K12" s="289"/>
      <c r="S12" s="17" t="s">
        <v>307</v>
      </c>
      <c r="AD12" s="299">
        <v>1</v>
      </c>
      <c r="AE12" s="17">
        <f>VLOOKUP(AD12,AC13:AE17,3)</f>
        <v>0.5</v>
      </c>
    </row>
    <row r="13" spans="1:80" ht="15" x14ac:dyDescent="0.25">
      <c r="E13" s="29"/>
      <c r="F13" s="29"/>
      <c r="G13" s="30"/>
      <c r="I13" s="29"/>
      <c r="J13" s="29"/>
      <c r="K13" s="289"/>
      <c r="Q13" s="299">
        <v>1</v>
      </c>
      <c r="S13" s="17">
        <f>IF(Q13=3,2,1)</f>
        <v>1</v>
      </c>
      <c r="U13" s="17">
        <f>VLOOKUP(Q13,Q14:U16,5)</f>
        <v>0</v>
      </c>
      <c r="V13" s="293">
        <f>VLOOKUP(Q13,Q14:V16,6)</f>
        <v>1.42</v>
      </c>
      <c r="W13" s="293" t="str">
        <f>VLOOKUP(Q13,Q14:W16,7)</f>
        <v>N</v>
      </c>
      <c r="X13" s="306">
        <v>2</v>
      </c>
      <c r="Y13" s="17">
        <f>IF(X13=1,1,0)</f>
        <v>0</v>
      </c>
      <c r="AC13" s="17">
        <v>1</v>
      </c>
      <c r="AD13" s="17" t="str">
        <f>IF($Q$18=2,"50 / 50"," ")</f>
        <v xml:space="preserve"> </v>
      </c>
      <c r="AE13" s="17">
        <v>0.5</v>
      </c>
      <c r="AK13" s="293"/>
    </row>
    <row r="14" spans="1:80" ht="15.75" thickBot="1" x14ac:dyDescent="0.3">
      <c r="B14" s="23" t="s">
        <v>17</v>
      </c>
      <c r="C14" s="36">
        <f>BO16</f>
        <v>20</v>
      </c>
      <c r="D14" s="18" t="s">
        <v>10</v>
      </c>
      <c r="J14" s="29"/>
      <c r="K14" s="289"/>
      <c r="Q14" s="293">
        <v>1</v>
      </c>
      <c r="R14" s="17" t="s">
        <v>402</v>
      </c>
      <c r="U14" s="17">
        <f>AQ4</f>
        <v>0</v>
      </c>
      <c r="V14" s="293">
        <f>AM4</f>
        <v>1.42</v>
      </c>
      <c r="W14" s="17" t="s">
        <v>21</v>
      </c>
      <c r="X14" s="17">
        <v>1</v>
      </c>
      <c r="Y14" s="17" t="s">
        <v>76</v>
      </c>
      <c r="AC14" s="17">
        <v>2</v>
      </c>
      <c r="AD14" s="17" t="str">
        <f>IF($Q$18=2,"45 / 55"," ")</f>
        <v xml:space="preserve"> </v>
      </c>
      <c r="AE14" s="17">
        <v>0.55000000000000004</v>
      </c>
    </row>
    <row r="15" spans="1:80" ht="15.75" thickBot="1" x14ac:dyDescent="0.3">
      <c r="B15" s="23" t="s">
        <v>11</v>
      </c>
      <c r="C15" s="36">
        <f>W4</f>
        <v>0.01</v>
      </c>
      <c r="D15" s="17" t="s">
        <v>10</v>
      </c>
      <c r="F15" s="37"/>
      <c r="G15" s="38"/>
      <c r="H15" s="39"/>
      <c r="I15" s="29"/>
      <c r="J15" s="29"/>
      <c r="K15" s="289"/>
      <c r="Q15" s="293">
        <v>2</v>
      </c>
      <c r="U15" s="17">
        <f>Y4</f>
        <v>0</v>
      </c>
      <c r="V15" s="293">
        <f>IF(Q4=1,1.47,IF(Q4=2,3.43,8.67))</f>
        <v>1.47</v>
      </c>
      <c r="W15" s="17" t="s">
        <v>21</v>
      </c>
      <c r="X15" s="17">
        <v>2</v>
      </c>
      <c r="Y15" s="17" t="s">
        <v>77</v>
      </c>
      <c r="AC15" s="17">
        <v>3</v>
      </c>
      <c r="AD15" s="17" t="str">
        <f>IF($Q$18=2,"40 / 60"," ")</f>
        <v xml:space="preserve"> </v>
      </c>
      <c r="AE15" s="17">
        <v>0.6</v>
      </c>
      <c r="AQ15" s="307"/>
      <c r="AR15" s="308"/>
      <c r="AS15" s="308"/>
      <c r="AT15" s="308"/>
      <c r="AU15" s="308"/>
      <c r="AV15" s="309" t="s">
        <v>276</v>
      </c>
      <c r="AW15" s="308"/>
      <c r="AX15" s="308"/>
      <c r="AY15" s="308"/>
      <c r="AZ15" s="308"/>
      <c r="BA15" s="308"/>
      <c r="BB15" s="308"/>
      <c r="BC15" s="308"/>
      <c r="BD15" s="308"/>
      <c r="BE15" s="308"/>
      <c r="BF15" s="310"/>
      <c r="BH15" s="311"/>
      <c r="BI15" s="312"/>
      <c r="BJ15" s="312"/>
      <c r="BK15" s="312" t="s">
        <v>281</v>
      </c>
      <c r="BL15" s="312"/>
      <c r="BM15" s="312"/>
      <c r="BN15" s="312"/>
      <c r="BO15" s="313"/>
    </row>
    <row r="16" spans="1:80" ht="15" x14ac:dyDescent="0.2">
      <c r="A16" s="22"/>
      <c r="F16" s="37"/>
      <c r="G16" s="38"/>
      <c r="H16" s="39"/>
      <c r="I16" s="29"/>
      <c r="J16" s="29"/>
      <c r="K16" s="289"/>
      <c r="Q16" s="293">
        <v>3</v>
      </c>
      <c r="U16" s="17">
        <f>G18</f>
        <v>0</v>
      </c>
      <c r="V16" s="293">
        <f>2*AM4</f>
        <v>2.84</v>
      </c>
      <c r="W16" s="17" t="s">
        <v>21</v>
      </c>
      <c r="AC16" s="17">
        <v>4</v>
      </c>
      <c r="AD16" s="17" t="str">
        <f>IF($Q$18=2,"30 / 70"," ")</f>
        <v xml:space="preserve"> </v>
      </c>
      <c r="AE16" s="17">
        <v>0.7</v>
      </c>
      <c r="AQ16" s="314"/>
      <c r="AR16" s="315" t="s">
        <v>443</v>
      </c>
      <c r="AT16" s="315"/>
      <c r="AW16" s="314"/>
      <c r="AX16" s="315" t="s">
        <v>444</v>
      </c>
      <c r="AY16" s="314"/>
      <c r="AZ16" s="315"/>
      <c r="BC16" s="314"/>
      <c r="BD16" s="316" t="s">
        <v>445</v>
      </c>
      <c r="BE16" s="317"/>
      <c r="BF16" s="318"/>
      <c r="BH16" s="319">
        <f>Q4</f>
        <v>1</v>
      </c>
      <c r="BI16" s="320" t="s">
        <v>443</v>
      </c>
      <c r="BJ16" s="320"/>
      <c r="BK16" s="320" t="s">
        <v>444</v>
      </c>
      <c r="BL16" s="320"/>
      <c r="BM16" s="320" t="s">
        <v>445</v>
      </c>
      <c r="BN16" s="321">
        <v>2</v>
      </c>
      <c r="BO16" s="322">
        <f>VLOOKUP(BN16,BN17:BO20,2)</f>
        <v>20</v>
      </c>
    </row>
    <row r="17" spans="1:67" ht="15" x14ac:dyDescent="0.25">
      <c r="F17" s="49" t="str">
        <f>IF(AND(OR(Q4=2,Q4=4),Q13=2),"Long carriage not available"," ")</f>
        <v xml:space="preserve"> </v>
      </c>
      <c r="K17" s="289"/>
      <c r="Q17" s="293"/>
      <c r="AA17" s="17" t="s">
        <v>94</v>
      </c>
      <c r="AC17" s="17">
        <v>5</v>
      </c>
      <c r="AD17" s="17" t="str">
        <f>IF($Q$18=2,"20 / 80"," ")</f>
        <v xml:space="preserve"> </v>
      </c>
      <c r="AE17" s="17">
        <v>0.8</v>
      </c>
      <c r="AQ17" s="323" t="s">
        <v>277</v>
      </c>
      <c r="AR17" s="324">
        <f>VLOOKUP(C19,AQ18:AR34,2)</f>
        <v>570</v>
      </c>
      <c r="AS17" s="323"/>
      <c r="AT17" s="324"/>
      <c r="AU17" s="323"/>
      <c r="AV17" s="293"/>
      <c r="AW17" s="323" t="s">
        <v>277</v>
      </c>
      <c r="AX17" s="324">
        <f>VLOOKUP(C19,AW18:AX32,2)</f>
        <v>505</v>
      </c>
      <c r="AY17" s="323"/>
      <c r="AZ17" s="324"/>
      <c r="BA17" s="23"/>
      <c r="BB17" s="324"/>
      <c r="BC17" s="323" t="s">
        <v>277</v>
      </c>
      <c r="BD17" s="324">
        <f>VLOOKUP(C19,BC18:BD31,2)</f>
        <v>640</v>
      </c>
      <c r="BE17" s="323"/>
      <c r="BF17" s="324"/>
      <c r="BH17" s="325"/>
      <c r="BI17" s="326">
        <v>5</v>
      </c>
      <c r="BJ17" s="326"/>
      <c r="BK17" s="326">
        <v>5</v>
      </c>
      <c r="BL17" s="326"/>
      <c r="BM17" s="326">
        <v>5</v>
      </c>
      <c r="BN17" s="320">
        <v>1</v>
      </c>
      <c r="BO17" s="327">
        <v>5</v>
      </c>
    </row>
    <row r="18" spans="1:67" ht="15" x14ac:dyDescent="0.25">
      <c r="A18" s="25"/>
      <c r="B18" s="26"/>
      <c r="C18" s="328"/>
      <c r="D18" s="329"/>
      <c r="E18" s="32" t="str">
        <f>IF(K22=2,"Not available"," ")</f>
        <v xml:space="preserve"> </v>
      </c>
      <c r="F18" s="26"/>
      <c r="H18" s="35"/>
      <c r="I18" s="49"/>
      <c r="J18" s="29"/>
      <c r="K18" s="289"/>
      <c r="Q18" s="299">
        <v>1</v>
      </c>
      <c r="R18" s="17" t="s">
        <v>93</v>
      </c>
      <c r="S18" s="293">
        <f>Q18-1</f>
        <v>0</v>
      </c>
      <c r="T18" s="299">
        <v>1</v>
      </c>
      <c r="W18" s="306">
        <v>1</v>
      </c>
      <c r="AA18" s="17">
        <f>IF(AND(Q18=1,T18=1),1,IF(AND(Q18=2,T18=1),2,IF(AND(Q18=1,T18=2),3,IF(AND(Q18=2,T18=2),4,""))))</f>
        <v>1</v>
      </c>
      <c r="AF18" s="330"/>
      <c r="AQ18" s="314">
        <v>0</v>
      </c>
      <c r="AR18" s="315">
        <v>430</v>
      </c>
      <c r="AT18" s="315"/>
      <c r="AW18" s="314">
        <v>0</v>
      </c>
      <c r="AX18" s="315">
        <v>395</v>
      </c>
      <c r="AY18" s="314"/>
      <c r="AZ18" s="315"/>
      <c r="BC18" s="314">
        <v>0</v>
      </c>
      <c r="BD18" s="315">
        <v>465</v>
      </c>
      <c r="BE18" s="314"/>
      <c r="BF18" s="315"/>
      <c r="BH18" s="325"/>
      <c r="BI18" s="326">
        <v>20</v>
      </c>
      <c r="BJ18" s="326"/>
      <c r="BK18" s="326">
        <v>10</v>
      </c>
      <c r="BL18" s="326"/>
      <c r="BM18" s="326">
        <v>10</v>
      </c>
      <c r="BN18" s="320">
        <v>2</v>
      </c>
      <c r="BO18" s="327">
        <f>IF(BH16=1,20,10)</f>
        <v>20</v>
      </c>
    </row>
    <row r="19" spans="1:67" ht="15" x14ac:dyDescent="0.25">
      <c r="A19" s="22"/>
      <c r="B19" s="23" t="s">
        <v>15</v>
      </c>
      <c r="C19" s="40">
        <v>2200</v>
      </c>
      <c r="D19" s="18" t="s">
        <v>10</v>
      </c>
      <c r="F19" s="23" t="s">
        <v>16</v>
      </c>
      <c r="G19" s="36">
        <f>C19+Z4</f>
        <v>2770</v>
      </c>
      <c r="H19" s="41" t="s">
        <v>10</v>
      </c>
      <c r="I19" s="29"/>
      <c r="J19" s="29"/>
      <c r="K19" s="289"/>
      <c r="Q19" s="293" t="s">
        <v>95</v>
      </c>
      <c r="T19" s="293">
        <v>1</v>
      </c>
      <c r="U19" s="17" t="s">
        <v>18</v>
      </c>
      <c r="W19" s="17">
        <v>1</v>
      </c>
      <c r="X19" s="17" t="str">
        <f>IF(T18=1,"Top or downward"," ")</f>
        <v>Top or downward</v>
      </c>
      <c r="AA19" s="17" t="str">
        <f>R78</f>
        <v>Horizontal mounting, single unit</v>
      </c>
      <c r="AH19" s="108"/>
      <c r="AI19" s="108"/>
      <c r="AQ19" s="314">
        <v>691</v>
      </c>
      <c r="AR19" s="315">
        <v>480</v>
      </c>
      <c r="AT19" s="315"/>
      <c r="AW19" s="314">
        <v>776</v>
      </c>
      <c r="AX19" s="315">
        <v>460</v>
      </c>
      <c r="AY19" s="314"/>
      <c r="AZ19" s="315"/>
      <c r="BC19" s="314">
        <v>941</v>
      </c>
      <c r="BD19" s="315">
        <v>570</v>
      </c>
      <c r="BE19" s="314"/>
      <c r="BF19" s="315"/>
      <c r="BH19" s="325"/>
      <c r="BI19" s="326">
        <v>50</v>
      </c>
      <c r="BJ19" s="326"/>
      <c r="BK19" s="326">
        <v>20</v>
      </c>
      <c r="BL19" s="326"/>
      <c r="BM19" s="326">
        <v>20</v>
      </c>
      <c r="BN19" s="320">
        <v>3</v>
      </c>
      <c r="BO19" s="327">
        <f>IF(BH16&gt;1,20,50)</f>
        <v>50</v>
      </c>
    </row>
    <row r="20" spans="1:67" ht="15" x14ac:dyDescent="0.25">
      <c r="C20" s="49" t="str">
        <f>IF(C19&gt;X4,"Longer than standard. Check with plant"," ")</f>
        <v xml:space="preserve"> </v>
      </c>
      <c r="E20" s="108"/>
      <c r="F20" s="108"/>
      <c r="I20" s="29"/>
      <c r="J20" s="29"/>
      <c r="K20" s="289"/>
      <c r="Q20" s="293" t="s">
        <v>96</v>
      </c>
      <c r="T20" s="293">
        <v>2</v>
      </c>
      <c r="U20" s="17" t="s">
        <v>19</v>
      </c>
      <c r="W20" s="17">
        <v>2</v>
      </c>
      <c r="X20" s="17" t="str">
        <f>IF(T18=1,"Sideway"," ")</f>
        <v>Sideway</v>
      </c>
      <c r="AH20" s="108"/>
      <c r="AI20" s="108"/>
      <c r="AQ20" s="314">
        <v>1416</v>
      </c>
      <c r="AR20" s="315">
        <v>520</v>
      </c>
      <c r="AT20" s="315"/>
      <c r="AW20" s="314">
        <v>1671</v>
      </c>
      <c r="AX20" s="315">
        <v>505</v>
      </c>
      <c r="AY20" s="314"/>
      <c r="AZ20" s="315"/>
      <c r="BC20" s="314">
        <v>1861</v>
      </c>
      <c r="BD20" s="315">
        <v>640</v>
      </c>
      <c r="BE20" s="314"/>
      <c r="BF20" s="315"/>
      <c r="BH20" s="325"/>
      <c r="BI20" s="326"/>
      <c r="BJ20" s="326"/>
      <c r="BK20" s="326">
        <v>50</v>
      </c>
      <c r="BL20" s="326"/>
      <c r="BM20" s="326">
        <v>40</v>
      </c>
      <c r="BN20" s="320">
        <v>4</v>
      </c>
      <c r="BO20" s="332" t="str">
        <f>IF(BH16=1," - ",IF(BH16=3,40,50))</f>
        <v xml:space="preserve"> - </v>
      </c>
    </row>
    <row r="21" spans="1:67" ht="15" x14ac:dyDescent="0.25">
      <c r="A21" s="22"/>
      <c r="B21" s="22"/>
      <c r="C21" s="42" t="s">
        <v>97</v>
      </c>
      <c r="D21" s="18"/>
      <c r="E21" s="106"/>
      <c r="F21" s="107"/>
      <c r="G21" s="38"/>
      <c r="H21" s="39"/>
      <c r="I21" s="29"/>
      <c r="J21" s="29"/>
      <c r="K21" s="289"/>
      <c r="Q21" s="293"/>
      <c r="AH21" s="108"/>
      <c r="AI21" s="108"/>
      <c r="AQ21" s="314">
        <v>2156</v>
      </c>
      <c r="AR21" s="315">
        <v>570</v>
      </c>
      <c r="AT21" s="315"/>
      <c r="AW21" s="314">
        <v>2506</v>
      </c>
      <c r="AX21" s="315">
        <v>550</v>
      </c>
      <c r="AY21" s="314"/>
      <c r="AZ21" s="315"/>
      <c r="BC21" s="314">
        <v>2791</v>
      </c>
      <c r="BD21" s="315">
        <v>710</v>
      </c>
      <c r="BE21" s="314"/>
      <c r="BF21" s="315"/>
      <c r="BH21" s="333"/>
      <c r="BI21" s="334" t="s">
        <v>293</v>
      </c>
      <c r="BJ21" s="334"/>
      <c r="BK21" s="334"/>
      <c r="BL21" s="334"/>
      <c r="BM21" s="334"/>
      <c r="BN21" s="335">
        <f>BN16</f>
        <v>2</v>
      </c>
      <c r="BO21" s="322">
        <f>VLOOKUP(BN21,BN22:BO25,2)</f>
        <v>11600</v>
      </c>
    </row>
    <row r="22" spans="1:67" ht="15" x14ac:dyDescent="0.25">
      <c r="A22" s="22" t="str">
        <f>IF(Q18=2,"Distance between  linear units"," ")</f>
        <v xml:space="preserve"> </v>
      </c>
      <c r="B22" s="23"/>
      <c r="C22" s="18"/>
      <c r="D22" s="40">
        <v>800</v>
      </c>
      <c r="E22" s="106"/>
      <c r="F22" s="108"/>
      <c r="I22" s="29"/>
      <c r="J22" s="29"/>
      <c r="K22" s="289"/>
      <c r="Q22" s="293"/>
      <c r="X22" s="23" t="s">
        <v>70</v>
      </c>
      <c r="Y22" s="293">
        <v>0.1</v>
      </c>
      <c r="AQ22" s="336">
        <v>2886</v>
      </c>
      <c r="AR22" s="337">
        <v>610</v>
      </c>
      <c r="AT22" s="315"/>
      <c r="AW22" s="336">
        <v>3341</v>
      </c>
      <c r="AX22" s="337">
        <v>590</v>
      </c>
      <c r="AY22" s="314"/>
      <c r="AZ22" s="315"/>
      <c r="BC22" s="314">
        <v>3721</v>
      </c>
      <c r="BD22" s="315">
        <v>780</v>
      </c>
      <c r="BE22" s="314"/>
      <c r="BF22" s="315"/>
      <c r="BH22" s="338"/>
      <c r="BI22" s="339">
        <v>10500</v>
      </c>
      <c r="BJ22" s="339"/>
      <c r="BK22" s="339">
        <v>12300</v>
      </c>
      <c r="BL22" s="339"/>
      <c r="BM22" s="339">
        <v>21500</v>
      </c>
      <c r="BN22" s="339">
        <v>1</v>
      </c>
      <c r="BO22" s="340">
        <f>IF($BH$16=1,BI22,IF($BH$16=3,BM22,BK22))</f>
        <v>10500</v>
      </c>
    </row>
    <row r="23" spans="1:67" ht="15" x14ac:dyDescent="0.25">
      <c r="D23" s="43"/>
      <c r="E23" s="29"/>
      <c r="F23" s="26"/>
      <c r="H23" s="29"/>
      <c r="J23" s="29"/>
      <c r="K23" s="289"/>
      <c r="Q23" s="341" t="s">
        <v>450</v>
      </c>
      <c r="R23" s="339"/>
      <c r="S23" s="339"/>
      <c r="T23" s="339"/>
      <c r="U23" s="339"/>
      <c r="V23" s="339"/>
      <c r="W23" s="339"/>
      <c r="X23" s="339"/>
      <c r="Y23" s="339"/>
      <c r="Z23" s="339"/>
      <c r="AA23" s="339"/>
      <c r="AB23" s="339"/>
      <c r="AC23" s="339"/>
      <c r="AD23" s="339"/>
      <c r="AE23" s="293"/>
      <c r="AF23" s="293"/>
      <c r="AH23" s="23" t="s">
        <v>351</v>
      </c>
      <c r="AI23" s="293" t="s">
        <v>350</v>
      </c>
      <c r="AQ23" s="336">
        <v>3626</v>
      </c>
      <c r="AR23" s="337">
        <v>660</v>
      </c>
      <c r="AT23" s="315"/>
      <c r="AW23" s="336">
        <v>4176</v>
      </c>
      <c r="AX23" s="337">
        <v>635</v>
      </c>
      <c r="AY23" s="314"/>
      <c r="AZ23" s="315"/>
      <c r="BC23" s="314">
        <v>4651</v>
      </c>
      <c r="BD23" s="315">
        <v>845</v>
      </c>
      <c r="BE23" s="314"/>
      <c r="BF23" s="315"/>
      <c r="BH23" s="325"/>
      <c r="BI23" s="320">
        <v>11600</v>
      </c>
      <c r="BJ23" s="320"/>
      <c r="BK23" s="320">
        <v>13200</v>
      </c>
      <c r="BL23" s="320"/>
      <c r="BM23" s="320">
        <v>33400</v>
      </c>
      <c r="BN23" s="320">
        <v>2</v>
      </c>
      <c r="BO23" s="327">
        <f t="shared" ref="BO23:BO25" si="1">IF($BH$16=1,BI23,IF($BH$16=3,BM23,BK23))</f>
        <v>11600</v>
      </c>
    </row>
    <row r="24" spans="1:67" ht="15" x14ac:dyDescent="0.25">
      <c r="A24" s="44"/>
      <c r="B24" s="29"/>
      <c r="C24" s="33" t="s">
        <v>12</v>
      </c>
      <c r="D24" s="45">
        <f>Q18*(AN4+G19/100*AO4+IF(Q13=2,AL4,IF(Q13=3,1.5*AM4,AM4)))</f>
        <v>21.375</v>
      </c>
      <c r="E24" s="29" t="s">
        <v>13</v>
      </c>
      <c r="G24" s="36" t="str">
        <f>IF(M33=0," ",IF(C27/2000&gt;#REF!,"OK","Too much"))</f>
        <v xml:space="preserve"> </v>
      </c>
      <c r="I24" s="29"/>
      <c r="J24" s="29"/>
      <c r="K24" s="289"/>
      <c r="Q24" s="342"/>
      <c r="R24" s="320"/>
      <c r="S24" s="320"/>
      <c r="T24" s="320"/>
      <c r="U24" s="320"/>
      <c r="V24" s="320"/>
      <c r="W24" s="326"/>
      <c r="X24" s="320"/>
      <c r="Y24" s="320"/>
      <c r="Z24" s="320"/>
      <c r="AA24" s="320"/>
      <c r="AB24" s="326" t="s">
        <v>72</v>
      </c>
      <c r="AC24" s="320"/>
      <c r="AD24" s="320"/>
      <c r="AE24" s="476"/>
      <c r="AF24" s="477"/>
      <c r="AH24" s="23" t="s">
        <v>352</v>
      </c>
      <c r="AI24" s="17" t="s">
        <v>353</v>
      </c>
      <c r="AQ24" s="336">
        <v>4356</v>
      </c>
      <c r="AR24" s="337">
        <v>700</v>
      </c>
      <c r="AT24" s="315"/>
      <c r="AW24" s="336">
        <v>5016</v>
      </c>
      <c r="AX24" s="337">
        <v>680</v>
      </c>
      <c r="AY24" s="336"/>
      <c r="AZ24" s="315"/>
      <c r="BC24" s="336">
        <v>5586</v>
      </c>
      <c r="BD24" s="337">
        <v>910</v>
      </c>
      <c r="BE24" s="314"/>
      <c r="BF24" s="315"/>
      <c r="BH24" s="325"/>
      <c r="BI24" s="320">
        <v>8400</v>
      </c>
      <c r="BJ24" s="320"/>
      <c r="BK24" s="320">
        <v>13000</v>
      </c>
      <c r="BL24" s="320"/>
      <c r="BM24" s="320">
        <v>29700</v>
      </c>
      <c r="BN24" s="320">
        <v>3</v>
      </c>
      <c r="BO24" s="327">
        <f t="shared" si="1"/>
        <v>8400</v>
      </c>
    </row>
    <row r="25" spans="1:67" ht="15.75" thickBot="1" x14ac:dyDescent="0.3">
      <c r="E25" s="29"/>
      <c r="F25" s="26" t="str">
        <f>IF(M33=0," ","Deflection")</f>
        <v xml:space="preserve"> </v>
      </c>
      <c r="K25" s="289"/>
      <c r="Q25" s="314"/>
      <c r="R25" s="320"/>
      <c r="S25" s="320"/>
      <c r="T25" s="320"/>
      <c r="U25" s="320"/>
      <c r="V25" s="320"/>
      <c r="W25" s="326"/>
      <c r="X25" s="320"/>
      <c r="Y25" s="343" t="s">
        <v>69</v>
      </c>
      <c r="Z25" s="320"/>
      <c r="AA25" s="320"/>
      <c r="AB25" s="326" t="s">
        <v>73</v>
      </c>
      <c r="AC25" s="320"/>
      <c r="AD25" s="320"/>
      <c r="AE25" s="293"/>
      <c r="AF25" s="293"/>
      <c r="AQ25" s="336">
        <v>5096</v>
      </c>
      <c r="AR25" s="337">
        <v>740</v>
      </c>
      <c r="AT25" s="315"/>
      <c r="AW25" s="336">
        <v>5851</v>
      </c>
      <c r="AX25" s="337">
        <v>725</v>
      </c>
      <c r="AY25" s="336"/>
      <c r="AZ25" s="315"/>
      <c r="BC25" s="336">
        <v>6521</v>
      </c>
      <c r="BD25" s="337">
        <v>980</v>
      </c>
      <c r="BE25" s="314"/>
      <c r="BF25" s="315"/>
      <c r="BH25" s="344"/>
      <c r="BI25" s="345"/>
      <c r="BJ25" s="345"/>
      <c r="BK25" s="345">
        <v>15400</v>
      </c>
      <c r="BL25" s="345"/>
      <c r="BM25" s="345">
        <v>14900</v>
      </c>
      <c r="BN25" s="345">
        <v>4</v>
      </c>
      <c r="BO25" s="346">
        <f t="shared" si="1"/>
        <v>0</v>
      </c>
    </row>
    <row r="26" spans="1:67" x14ac:dyDescent="0.2">
      <c r="A26" s="25"/>
      <c r="B26" s="42" t="s">
        <v>14</v>
      </c>
      <c r="C26" s="18"/>
      <c r="D26" s="46"/>
      <c r="H26" s="29"/>
      <c r="K26" s="289"/>
      <c r="Q26" s="347"/>
      <c r="R26" s="326"/>
      <c r="S26" s="326"/>
      <c r="T26" s="326"/>
      <c r="U26" s="320"/>
      <c r="V26" s="348"/>
      <c r="W26" s="348"/>
      <c r="X26" s="320"/>
      <c r="Y26" s="326" t="s">
        <v>20</v>
      </c>
      <c r="Z26" s="349">
        <f>C42+(C49+AM4)*C53+C49*E50*10</f>
        <v>1.704</v>
      </c>
      <c r="AA26" s="320" t="s">
        <v>21</v>
      </c>
      <c r="AB26" s="326">
        <f>AB4</f>
        <v>4000</v>
      </c>
      <c r="AC26" s="320"/>
      <c r="AD26" s="320"/>
      <c r="AE26" s="350"/>
      <c r="AF26" s="350"/>
      <c r="AH26" s="351">
        <f>Z26</f>
        <v>1.704</v>
      </c>
      <c r="AI26" s="351">
        <f>C42+C49*E50*10</f>
        <v>0</v>
      </c>
      <c r="AQ26" s="336">
        <v>5836</v>
      </c>
      <c r="AR26" s="337">
        <v>790</v>
      </c>
      <c r="AT26" s="315"/>
      <c r="AW26" s="336">
        <v>6686</v>
      </c>
      <c r="AX26" s="337">
        <v>770</v>
      </c>
      <c r="AY26" s="336"/>
      <c r="AZ26" s="315"/>
      <c r="BC26" s="336">
        <v>7451</v>
      </c>
      <c r="BD26" s="337">
        <v>1050</v>
      </c>
      <c r="BE26" s="314"/>
      <c r="BF26" s="315"/>
    </row>
    <row r="27" spans="1:67" x14ac:dyDescent="0.2">
      <c r="A27" s="25"/>
      <c r="B27" s="26"/>
      <c r="C27" s="328"/>
      <c r="D27" s="29"/>
      <c r="K27" s="289"/>
      <c r="Q27" s="347"/>
      <c r="R27" s="326"/>
      <c r="S27" s="326"/>
      <c r="T27" s="326"/>
      <c r="U27" s="320"/>
      <c r="V27" s="348"/>
      <c r="W27" s="326"/>
      <c r="X27" s="320"/>
      <c r="Y27" s="326" t="s">
        <v>22</v>
      </c>
      <c r="Z27" s="326">
        <f>C43</f>
        <v>0</v>
      </c>
      <c r="AA27" s="320" t="s">
        <v>21</v>
      </c>
      <c r="AB27" s="326">
        <f>AC4</f>
        <v>0</v>
      </c>
      <c r="AC27" s="352"/>
      <c r="AD27" s="320"/>
      <c r="AE27" s="350"/>
      <c r="AF27" s="350"/>
      <c r="AQ27" s="336">
        <v>6566</v>
      </c>
      <c r="AR27" s="337">
        <v>830</v>
      </c>
      <c r="AT27" s="315"/>
      <c r="AW27" s="336">
        <v>7521</v>
      </c>
      <c r="AX27" s="337">
        <v>815</v>
      </c>
      <c r="AY27" s="336"/>
      <c r="AZ27" s="315"/>
      <c r="BC27" s="336">
        <v>8381</v>
      </c>
      <c r="BD27" s="337">
        <v>1125</v>
      </c>
      <c r="BE27" s="314"/>
      <c r="BF27" s="315"/>
      <c r="BH27" s="17" t="s">
        <v>326</v>
      </c>
      <c r="BI27" s="17" t="str">
        <f>CONCATENATE(BB4,IF(BO16&lt;10,0,""),BO16,"-D")</f>
        <v>2020-D</v>
      </c>
    </row>
    <row r="28" spans="1:67" x14ac:dyDescent="0.2">
      <c r="G28" s="353"/>
      <c r="K28" s="289"/>
      <c r="Q28" s="347"/>
      <c r="R28" s="326"/>
      <c r="S28" s="326"/>
      <c r="T28" s="326"/>
      <c r="U28" s="320"/>
      <c r="V28" s="348"/>
      <c r="W28" s="326"/>
      <c r="X28" s="320"/>
      <c r="Y28" s="326" t="s">
        <v>23</v>
      </c>
      <c r="Z28" s="326">
        <f>C44+C49*10*Y13</f>
        <v>0</v>
      </c>
      <c r="AA28" s="320" t="s">
        <v>21</v>
      </c>
      <c r="AB28" s="326">
        <f>AD4</f>
        <v>0</v>
      </c>
      <c r="AC28" s="352"/>
      <c r="AD28" s="320"/>
      <c r="AE28" s="350"/>
      <c r="AF28" s="350"/>
      <c r="AQ28" s="336">
        <v>7336</v>
      </c>
      <c r="AR28" s="337">
        <v>880</v>
      </c>
      <c r="AT28" s="315"/>
      <c r="AW28" s="336">
        <v>8381</v>
      </c>
      <c r="AX28" s="337">
        <v>855</v>
      </c>
      <c r="AY28" s="336"/>
      <c r="AZ28" s="315"/>
      <c r="BC28" s="336">
        <v>9376</v>
      </c>
      <c r="BD28" s="337">
        <v>1190</v>
      </c>
      <c r="BE28" s="314"/>
      <c r="BF28" s="315"/>
    </row>
    <row r="29" spans="1:67" x14ac:dyDescent="0.2">
      <c r="E29" s="353"/>
      <c r="F29" s="353"/>
      <c r="H29" s="353"/>
      <c r="K29" s="289"/>
      <c r="Q29" s="347"/>
      <c r="R29" s="320"/>
      <c r="S29" s="320"/>
      <c r="T29" s="320"/>
      <c r="U29" s="320"/>
      <c r="V29" s="320"/>
      <c r="W29" s="320"/>
      <c r="X29" s="320"/>
      <c r="Y29" s="326" t="s">
        <v>24</v>
      </c>
      <c r="Z29" s="326">
        <f>T26</f>
        <v>0</v>
      </c>
      <c r="AA29" s="320" t="s">
        <v>27</v>
      </c>
      <c r="AB29" s="326">
        <f>AE4</f>
        <v>0</v>
      </c>
      <c r="AC29" s="352"/>
      <c r="AD29" s="320"/>
      <c r="AE29" s="350"/>
      <c r="AF29" s="350"/>
      <c r="AQ29" s="336">
        <v>8086</v>
      </c>
      <c r="AR29" s="337">
        <v>920</v>
      </c>
      <c r="AT29" s="315"/>
      <c r="AW29" s="336">
        <v>9246</v>
      </c>
      <c r="AX29" s="337">
        <v>895</v>
      </c>
      <c r="AY29" s="336"/>
      <c r="AZ29" s="315"/>
      <c r="BC29" s="336">
        <v>10301</v>
      </c>
      <c r="BD29" s="337">
        <v>1260</v>
      </c>
      <c r="BE29" s="314"/>
      <c r="BF29" s="315"/>
      <c r="BH29" s="354"/>
      <c r="BI29" s="355" t="s">
        <v>345</v>
      </c>
      <c r="BJ29" s="356">
        <v>150</v>
      </c>
      <c r="BK29" s="356">
        <v>1500</v>
      </c>
      <c r="BL29" s="356">
        <v>3000</v>
      </c>
      <c r="BM29" s="357" t="s">
        <v>129</v>
      </c>
    </row>
    <row r="30" spans="1:67" x14ac:dyDescent="0.2">
      <c r="A30" s="353"/>
      <c r="B30" s="353"/>
      <c r="C30" s="353"/>
      <c r="D30" s="353"/>
      <c r="I30" s="353"/>
      <c r="J30" s="353"/>
      <c r="K30" s="358"/>
      <c r="L30" s="353"/>
      <c r="M30" s="353"/>
      <c r="N30" s="353"/>
      <c r="Q30" s="347"/>
      <c r="R30" s="320"/>
      <c r="S30" s="320"/>
      <c r="T30" s="320"/>
      <c r="U30" s="320"/>
      <c r="V30" s="326"/>
      <c r="W30" s="326"/>
      <c r="X30" s="320"/>
      <c r="Y30" s="326" t="s">
        <v>25</v>
      </c>
      <c r="Z30" s="326">
        <f>T27</f>
        <v>0</v>
      </c>
      <c r="AA30" s="320" t="s">
        <v>27</v>
      </c>
      <c r="AB30" s="326">
        <f>AF4</f>
        <v>0</v>
      </c>
      <c r="AC30" s="352"/>
      <c r="AD30" s="320"/>
      <c r="AE30" s="350"/>
      <c r="AF30" s="350"/>
      <c r="AQ30" s="336">
        <v>8846</v>
      </c>
      <c r="AR30" s="337">
        <v>960</v>
      </c>
      <c r="AT30" s="315"/>
      <c r="AW30" s="336">
        <v>10111</v>
      </c>
      <c r="AX30" s="337">
        <v>945</v>
      </c>
      <c r="AY30" s="336"/>
      <c r="AZ30" s="315"/>
      <c r="BC30" s="314">
        <v>11001</v>
      </c>
      <c r="BD30" s="324" t="s">
        <v>275</v>
      </c>
      <c r="BE30" s="314"/>
      <c r="BF30" s="324"/>
      <c r="BH30" s="359"/>
      <c r="BI30" s="360"/>
      <c r="BJ30" s="361">
        <f>VLOOKUP($BI$27,$BI$31:$BL$48,2)</f>
        <v>0.9</v>
      </c>
      <c r="BK30" s="361">
        <f>VLOOKUP($BI$27,$BI$31:$BL$48,3)</f>
        <v>1.5</v>
      </c>
      <c r="BL30" s="361">
        <f>VLOOKUP($BI$27,$BI$31:$BL$48,4)</f>
        <v>1.9</v>
      </c>
      <c r="BM30" s="362" t="s">
        <v>27</v>
      </c>
    </row>
    <row r="31" spans="1:67" s="353" customFormat="1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289"/>
      <c r="L31" s="17"/>
      <c r="M31" s="17"/>
      <c r="N31" s="17"/>
      <c r="Q31" s="347"/>
      <c r="R31" s="363"/>
      <c r="S31" s="363"/>
      <c r="T31" s="363"/>
      <c r="U31" s="363"/>
      <c r="V31" s="364"/>
      <c r="W31" s="326"/>
      <c r="X31" s="363"/>
      <c r="Y31" s="364" t="s">
        <v>26</v>
      </c>
      <c r="Z31" s="326">
        <f>T28</f>
        <v>0</v>
      </c>
      <c r="AA31" s="320" t="s">
        <v>27</v>
      </c>
      <c r="AB31" s="364">
        <f>AG4</f>
        <v>0</v>
      </c>
      <c r="AC31" s="352"/>
      <c r="AD31" s="363"/>
      <c r="AE31" s="365"/>
      <c r="AF31" s="350"/>
      <c r="AQ31" s="336">
        <v>9606</v>
      </c>
      <c r="AR31" s="366">
        <v>1010</v>
      </c>
      <c r="AT31" s="367"/>
      <c r="AW31" s="368">
        <v>11001</v>
      </c>
      <c r="AX31" s="369" t="s">
        <v>275</v>
      </c>
      <c r="AY31" s="368"/>
      <c r="AZ31" s="367"/>
      <c r="BB31" s="370"/>
      <c r="BC31" s="368">
        <v>15000</v>
      </c>
      <c r="BD31" s="367"/>
      <c r="BE31" s="368"/>
      <c r="BF31" s="367"/>
      <c r="BI31" s="354" t="s">
        <v>327</v>
      </c>
      <c r="BJ31" s="371">
        <v>0.7</v>
      </c>
      <c r="BK31" s="371">
        <v>1.3</v>
      </c>
      <c r="BL31" s="372">
        <v>1.7</v>
      </c>
    </row>
    <row r="32" spans="1:67" ht="15" x14ac:dyDescent="0.25">
      <c r="G32" s="373" t="str">
        <f>IF(Q18=2,"How is the load shared?"," ")</f>
        <v xml:space="preserve"> </v>
      </c>
      <c r="K32" s="289"/>
      <c r="Q32" s="314"/>
      <c r="R32" s="320"/>
      <c r="S32" s="320"/>
      <c r="T32" s="320"/>
      <c r="U32" s="320"/>
      <c r="V32" s="320"/>
      <c r="W32" s="320"/>
      <c r="X32" s="320"/>
      <c r="Y32" s="320"/>
      <c r="Z32" s="320"/>
      <c r="AA32" s="320"/>
      <c r="AB32" s="320"/>
      <c r="AC32" s="320"/>
      <c r="AD32" s="320"/>
      <c r="AQ32" s="374">
        <v>10356</v>
      </c>
      <c r="AR32" s="337">
        <v>1050</v>
      </c>
      <c r="AT32" s="315"/>
      <c r="AW32" s="314">
        <v>15000</v>
      </c>
      <c r="AX32" s="315"/>
      <c r="AY32" s="314"/>
      <c r="AZ32" s="324"/>
      <c r="BC32" s="314"/>
      <c r="BD32" s="315"/>
      <c r="BE32" s="314"/>
      <c r="BF32" s="315"/>
      <c r="BI32" s="314" t="s">
        <v>328</v>
      </c>
      <c r="BJ32" s="320">
        <v>0.9</v>
      </c>
      <c r="BK32" s="320">
        <v>1.5</v>
      </c>
      <c r="BL32" s="315">
        <v>1.9</v>
      </c>
    </row>
    <row r="33" spans="2:87" x14ac:dyDescent="0.2">
      <c r="K33" s="289"/>
      <c r="Q33" s="314"/>
      <c r="R33" s="320"/>
      <c r="S33" s="320"/>
      <c r="T33" s="320"/>
      <c r="U33" s="320"/>
      <c r="V33" s="320"/>
      <c r="W33" s="320"/>
      <c r="X33" s="320"/>
      <c r="Y33" s="320"/>
      <c r="Z33" s="320"/>
      <c r="AA33" s="320"/>
      <c r="AB33" s="320"/>
      <c r="AC33" s="375"/>
      <c r="AD33" s="320"/>
      <c r="AE33" s="350"/>
      <c r="AF33" s="350"/>
      <c r="AQ33" s="314">
        <v>11001</v>
      </c>
      <c r="AR33" s="324" t="s">
        <v>275</v>
      </c>
      <c r="AT33" s="315"/>
      <c r="AV33" s="293"/>
      <c r="AW33" s="314"/>
      <c r="AX33" s="315"/>
      <c r="AY33" s="314"/>
      <c r="AZ33" s="315"/>
      <c r="BC33" s="314"/>
      <c r="BD33" s="315"/>
      <c r="BE33" s="314"/>
      <c r="BF33" s="315"/>
      <c r="BI33" s="314" t="s">
        <v>329</v>
      </c>
      <c r="BJ33" s="320">
        <v>1.1000000000000001</v>
      </c>
      <c r="BK33" s="320">
        <v>1.5</v>
      </c>
      <c r="BL33" s="315">
        <v>2.1</v>
      </c>
    </row>
    <row r="34" spans="2:87" x14ac:dyDescent="0.2">
      <c r="I34" s="17" t="str">
        <f>IF(AND(Q18=2,AD12=1),"equally"," ")</f>
        <v xml:space="preserve"> </v>
      </c>
      <c r="K34" s="289"/>
      <c r="Q34" s="359"/>
      <c r="R34" s="360"/>
      <c r="S34" s="360"/>
      <c r="T34" s="360"/>
      <c r="U34" s="360" t="s">
        <v>69</v>
      </c>
      <c r="V34" s="376">
        <f>SUM(V26:V33)</f>
        <v>0</v>
      </c>
      <c r="W34" s="376">
        <f>SUM(W26:W33)</f>
        <v>0</v>
      </c>
      <c r="X34" s="360" t="s">
        <v>21</v>
      </c>
      <c r="Y34" s="360"/>
      <c r="Z34" s="360"/>
      <c r="AA34" s="360"/>
      <c r="AB34" s="360"/>
      <c r="AC34" s="360"/>
      <c r="AQ34" s="314">
        <v>15000</v>
      </c>
      <c r="AR34" s="315"/>
      <c r="AT34" s="324"/>
      <c r="AW34" s="314"/>
      <c r="AX34" s="315"/>
      <c r="AY34" s="314"/>
      <c r="AZ34" s="315"/>
      <c r="BI34" s="314" t="s">
        <v>333</v>
      </c>
      <c r="BJ34" s="320">
        <v>0.9</v>
      </c>
      <c r="BK34" s="320">
        <v>1.6</v>
      </c>
      <c r="BL34" s="315">
        <v>2</v>
      </c>
    </row>
    <row r="35" spans="2:87" x14ac:dyDescent="0.2">
      <c r="K35" s="289"/>
      <c r="AT35" s="315"/>
      <c r="BI35" s="314" t="s">
        <v>334</v>
      </c>
      <c r="BJ35" s="320">
        <v>1.1000000000000001</v>
      </c>
      <c r="BK35" s="320">
        <v>1.9</v>
      </c>
      <c r="BL35" s="315">
        <v>2.4</v>
      </c>
    </row>
    <row r="36" spans="2:87" x14ac:dyDescent="0.2">
      <c r="K36" s="289"/>
      <c r="BI36" s="314" t="s">
        <v>335</v>
      </c>
      <c r="BJ36" s="320">
        <v>1.3</v>
      </c>
      <c r="BK36" s="320">
        <v>2.1</v>
      </c>
      <c r="BL36" s="315">
        <v>2.6</v>
      </c>
    </row>
    <row r="37" spans="2:87" ht="15" x14ac:dyDescent="0.25">
      <c r="K37" s="289"/>
      <c r="Q37" s="377" t="s">
        <v>451</v>
      </c>
      <c r="R37" s="378"/>
      <c r="S37" s="378"/>
      <c r="T37" s="378"/>
      <c r="U37" s="378"/>
      <c r="V37" s="378"/>
      <c r="W37" s="378"/>
      <c r="X37" s="378"/>
      <c r="Y37" s="378"/>
      <c r="Z37" s="378"/>
      <c r="AA37" s="378"/>
      <c r="AB37" s="378"/>
      <c r="AC37" s="378"/>
      <c r="AD37" s="378"/>
      <c r="AE37" s="293"/>
      <c r="AF37" s="293"/>
      <c r="BI37" s="314" t="s">
        <v>336</v>
      </c>
      <c r="BJ37" s="320">
        <v>1.4</v>
      </c>
      <c r="BK37" s="320">
        <v>2.2999999999999998</v>
      </c>
      <c r="BL37" s="315">
        <v>3</v>
      </c>
    </row>
    <row r="38" spans="2:87" x14ac:dyDescent="0.2">
      <c r="K38" s="289"/>
      <c r="Q38" s="379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380" t="s">
        <v>72</v>
      </c>
      <c r="AC38" s="22"/>
      <c r="AD38" s="22"/>
      <c r="AE38" s="476"/>
      <c r="AF38" s="477"/>
      <c r="BI38" s="314" t="s">
        <v>341</v>
      </c>
      <c r="BJ38" s="320">
        <v>1</v>
      </c>
      <c r="BK38" s="320">
        <v>2.1</v>
      </c>
      <c r="BL38" s="315">
        <v>2.4</v>
      </c>
    </row>
    <row r="39" spans="2:87" ht="15" x14ac:dyDescent="0.25">
      <c r="K39" s="289"/>
      <c r="Q39" s="381"/>
      <c r="R39" s="22"/>
      <c r="S39" s="22"/>
      <c r="T39" s="22"/>
      <c r="U39" s="22"/>
      <c r="V39" s="22"/>
      <c r="W39" s="22"/>
      <c r="X39" s="22"/>
      <c r="Y39" s="382" t="s">
        <v>69</v>
      </c>
      <c r="Z39" s="22"/>
      <c r="AA39" s="22"/>
      <c r="AB39" s="380" t="s">
        <v>73</v>
      </c>
      <c r="AC39" s="22" t="s">
        <v>74</v>
      </c>
      <c r="AD39" s="22"/>
      <c r="AE39" s="293"/>
      <c r="AF39" s="293"/>
      <c r="BI39" s="314" t="s">
        <v>342</v>
      </c>
      <c r="BJ39" s="320">
        <v>1.1000000000000001</v>
      </c>
      <c r="BK39" s="320">
        <v>2.2000000000000002</v>
      </c>
      <c r="BL39" s="315">
        <v>2.6</v>
      </c>
    </row>
    <row r="40" spans="2:87" x14ac:dyDescent="0.2">
      <c r="K40" s="289"/>
      <c r="Q40" s="383"/>
      <c r="R40" s="380"/>
      <c r="S40" s="380"/>
      <c r="T40" s="380"/>
      <c r="U40" s="22"/>
      <c r="V40" s="384"/>
      <c r="W40" s="380"/>
      <c r="X40" s="22"/>
      <c r="Y40" s="380" t="s">
        <v>20</v>
      </c>
      <c r="Z40" s="385">
        <f>C42+(C49+2*AM4)*C53+C49*E50*10</f>
        <v>3.4079999999999999</v>
      </c>
      <c r="AA40" s="22" t="s">
        <v>21</v>
      </c>
      <c r="AB40" s="380">
        <f>2*AB4</f>
        <v>8000</v>
      </c>
      <c r="AC40" s="22"/>
      <c r="AD40" s="22"/>
      <c r="AH40" s="351">
        <f>Z40*AE12</f>
        <v>1.704</v>
      </c>
      <c r="AI40" s="351">
        <f>C42+C49*E50*10</f>
        <v>0</v>
      </c>
      <c r="BI40" s="314" t="s">
        <v>343</v>
      </c>
      <c r="BJ40" s="320">
        <v>1.4</v>
      </c>
      <c r="BK40" s="320">
        <v>2.5</v>
      </c>
      <c r="BL40" s="315">
        <v>3</v>
      </c>
    </row>
    <row r="41" spans="2:87" x14ac:dyDescent="0.2">
      <c r="K41" s="289"/>
      <c r="Q41" s="383"/>
      <c r="R41" s="380"/>
      <c r="S41" s="380"/>
      <c r="T41" s="380"/>
      <c r="U41" s="22"/>
      <c r="V41" s="384"/>
      <c r="W41" s="380"/>
      <c r="X41" s="22"/>
      <c r="Y41" s="380" t="s">
        <v>22</v>
      </c>
      <c r="Z41" s="380">
        <f>C43</f>
        <v>0</v>
      </c>
      <c r="AA41" s="22" t="s">
        <v>21</v>
      </c>
      <c r="AB41" s="380">
        <f>AC4*1</f>
        <v>0</v>
      </c>
      <c r="AC41" s="386"/>
      <c r="AD41" s="22"/>
      <c r="BI41" s="314" t="s">
        <v>344</v>
      </c>
      <c r="BJ41" s="320">
        <v>1.5</v>
      </c>
      <c r="BK41" s="320">
        <v>2.8</v>
      </c>
      <c r="BL41" s="315">
        <v>3.5</v>
      </c>
    </row>
    <row r="42" spans="2:87" ht="15" x14ac:dyDescent="0.25">
      <c r="B42" s="293" t="s">
        <v>20</v>
      </c>
      <c r="C42" s="40">
        <v>0</v>
      </c>
      <c r="D42" s="17" t="s">
        <v>21</v>
      </c>
      <c r="E42" s="49" t="str">
        <f>IF(C42&gt;AB4*Q18,"Too much"," ")</f>
        <v xml:space="preserve"> </v>
      </c>
      <c r="K42" s="289"/>
      <c r="Q42" s="383"/>
      <c r="R42" s="380"/>
      <c r="S42" s="380"/>
      <c r="T42" s="380"/>
      <c r="U42" s="22"/>
      <c r="V42" s="384"/>
      <c r="W42" s="380"/>
      <c r="X42" s="22"/>
      <c r="Y42" s="380" t="s">
        <v>23</v>
      </c>
      <c r="Z42" s="380">
        <f>C44+C49*10*Y13+C45/D22*1000*2</f>
        <v>0</v>
      </c>
      <c r="AA42" s="22" t="s">
        <v>21</v>
      </c>
      <c r="AB42" s="380">
        <f>AD4*2</f>
        <v>0</v>
      </c>
      <c r="AC42" s="386"/>
      <c r="AD42" s="22"/>
      <c r="AE42" s="387"/>
      <c r="AJ42" s="388"/>
      <c r="BI42" s="314"/>
      <c r="BJ42" s="320"/>
      <c r="BK42" s="320"/>
      <c r="BL42" s="315"/>
    </row>
    <row r="43" spans="2:87" ht="15" x14ac:dyDescent="0.25">
      <c r="B43" s="293" t="s">
        <v>22</v>
      </c>
      <c r="C43" s="389">
        <v>0</v>
      </c>
      <c r="D43" s="17" t="s">
        <v>21</v>
      </c>
      <c r="E43" s="49"/>
      <c r="H43" s="373"/>
      <c r="K43" s="289"/>
      <c r="Q43" s="383"/>
      <c r="R43" s="22"/>
      <c r="S43" s="22"/>
      <c r="T43" s="22"/>
      <c r="U43" s="22"/>
      <c r="V43" s="22"/>
      <c r="W43" s="380"/>
      <c r="X43" s="22"/>
      <c r="Y43" s="380" t="s">
        <v>24</v>
      </c>
      <c r="Z43" s="380">
        <f>T40</f>
        <v>0</v>
      </c>
      <c r="AA43" s="22" t="s">
        <v>27</v>
      </c>
      <c r="AB43" s="380"/>
      <c r="AC43" s="386"/>
      <c r="AE43" s="390"/>
      <c r="BI43" s="314"/>
      <c r="BJ43" s="320"/>
      <c r="BK43" s="320"/>
      <c r="BL43" s="315"/>
      <c r="CA43" s="22"/>
      <c r="CB43" s="22"/>
      <c r="CC43" s="22"/>
      <c r="CD43" s="22"/>
      <c r="CE43" s="22"/>
      <c r="CF43" s="22"/>
      <c r="CG43" s="22"/>
      <c r="CH43" s="22"/>
      <c r="CI43" s="22"/>
    </row>
    <row r="44" spans="2:87" ht="15" x14ac:dyDescent="0.25">
      <c r="B44" s="293" t="s">
        <v>23</v>
      </c>
      <c r="C44" s="389">
        <v>0</v>
      </c>
      <c r="D44" s="17" t="s">
        <v>21</v>
      </c>
      <c r="E44" s="49"/>
      <c r="K44" s="289"/>
      <c r="Q44" s="383"/>
      <c r="R44" s="22"/>
      <c r="S44" s="22"/>
      <c r="T44" s="22"/>
      <c r="U44" s="22"/>
      <c r="V44" s="380"/>
      <c r="W44" s="380"/>
      <c r="X44" s="22"/>
      <c r="Y44" s="380" t="s">
        <v>25</v>
      </c>
      <c r="Z44" s="380">
        <f>T41</f>
        <v>0</v>
      </c>
      <c r="AA44" s="22" t="s">
        <v>27</v>
      </c>
      <c r="AB44" s="380">
        <f>AF4*2</f>
        <v>0</v>
      </c>
      <c r="AC44" s="386"/>
      <c r="AD44" s="22"/>
      <c r="AE44" s="391"/>
      <c r="AH44" s="49"/>
      <c r="BI44" s="314"/>
      <c r="BJ44" s="320"/>
      <c r="BK44" s="320"/>
      <c r="BL44" s="315"/>
      <c r="CA44" s="22"/>
      <c r="CB44" s="22"/>
      <c r="CC44" s="22"/>
      <c r="CD44" s="22"/>
      <c r="CE44" s="22"/>
      <c r="CF44" s="22"/>
      <c r="CG44" s="22"/>
      <c r="CH44" s="22"/>
      <c r="CI44" s="22"/>
    </row>
    <row r="45" spans="2:87" ht="15" x14ac:dyDescent="0.25">
      <c r="B45" s="293" t="s">
        <v>24</v>
      </c>
      <c r="C45" s="389">
        <v>0</v>
      </c>
      <c r="D45" s="17" t="s">
        <v>27</v>
      </c>
      <c r="E45" s="49"/>
      <c r="K45" s="289"/>
      <c r="Q45" s="383"/>
      <c r="R45" s="392"/>
      <c r="S45" s="392"/>
      <c r="T45" s="392"/>
      <c r="U45" s="392"/>
      <c r="V45" s="393"/>
      <c r="W45" s="380"/>
      <c r="X45" s="392"/>
      <c r="Y45" s="394" t="s">
        <v>26</v>
      </c>
      <c r="Z45" s="380">
        <f>T42</f>
        <v>0</v>
      </c>
      <c r="AA45" s="22" t="s">
        <v>27</v>
      </c>
      <c r="AB45" s="394"/>
      <c r="AC45" s="386"/>
      <c r="AE45" s="390"/>
      <c r="BI45" s="314"/>
      <c r="BJ45" s="320"/>
      <c r="BK45" s="320"/>
      <c r="BL45" s="315"/>
      <c r="CA45" s="22"/>
      <c r="CB45" s="382"/>
      <c r="CC45" s="22"/>
      <c r="CD45" s="22"/>
      <c r="CE45" s="22"/>
      <c r="CF45" s="22"/>
      <c r="CG45" s="22"/>
      <c r="CH45" s="22"/>
      <c r="CI45" s="22"/>
    </row>
    <row r="46" spans="2:87" ht="15" x14ac:dyDescent="0.25">
      <c r="B46" s="293" t="s">
        <v>25</v>
      </c>
      <c r="C46" s="389">
        <v>0</v>
      </c>
      <c r="D46" s="17" t="s">
        <v>27</v>
      </c>
      <c r="E46" s="49"/>
      <c r="K46" s="289"/>
      <c r="Q46" s="381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BI46" s="314"/>
      <c r="BJ46" s="320"/>
      <c r="BK46" s="320"/>
      <c r="BL46" s="315"/>
      <c r="CA46" s="22"/>
      <c r="CB46" s="22"/>
      <c r="CC46" s="22"/>
      <c r="CD46" s="22"/>
      <c r="CE46" s="22"/>
      <c r="CF46" s="22"/>
      <c r="CG46" s="22"/>
      <c r="CH46" s="22"/>
      <c r="CI46" s="22"/>
    </row>
    <row r="47" spans="2:87" ht="15" x14ac:dyDescent="0.25">
      <c r="B47" s="293" t="s">
        <v>26</v>
      </c>
      <c r="C47" s="389">
        <v>0</v>
      </c>
      <c r="D47" s="17" t="s">
        <v>27</v>
      </c>
      <c r="E47" s="49"/>
      <c r="K47" s="289"/>
      <c r="Q47" s="381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395"/>
      <c r="AD47" s="22"/>
      <c r="AE47" s="350"/>
      <c r="BI47" s="314"/>
      <c r="BJ47" s="320"/>
      <c r="BK47" s="320"/>
      <c r="BL47" s="315"/>
      <c r="CA47" s="22"/>
      <c r="CB47" s="22"/>
      <c r="CC47" s="22"/>
      <c r="CD47" s="22"/>
      <c r="CE47" s="22"/>
      <c r="CF47" s="22"/>
      <c r="CG47" s="22"/>
      <c r="CH47" s="22"/>
      <c r="CI47" s="22"/>
    </row>
    <row r="48" spans="2:87" x14ac:dyDescent="0.2">
      <c r="H48" s="320"/>
      <c r="I48" s="320"/>
      <c r="J48" s="320"/>
      <c r="K48" s="289"/>
      <c r="M48" s="293" t="s">
        <v>226</v>
      </c>
      <c r="Q48" s="396"/>
      <c r="R48" s="397"/>
      <c r="S48" s="397"/>
      <c r="T48" s="397"/>
      <c r="U48" s="397" t="s">
        <v>69</v>
      </c>
      <c r="V48" s="398">
        <f>SUM(V40:V47)</f>
        <v>0</v>
      </c>
      <c r="W48" s="398">
        <f>SUM(W40:W47)</f>
        <v>0</v>
      </c>
      <c r="X48" s="397" t="s">
        <v>21</v>
      </c>
      <c r="Y48" s="397"/>
      <c r="Z48" s="397"/>
      <c r="AA48" s="397"/>
      <c r="AB48" s="397"/>
      <c r="AC48" s="397"/>
      <c r="BI48" s="359"/>
      <c r="BJ48" s="360"/>
      <c r="BK48" s="360"/>
      <c r="BL48" s="362"/>
      <c r="CA48" s="22"/>
      <c r="CB48" s="22"/>
      <c r="CC48" s="22"/>
      <c r="CD48" s="22"/>
      <c r="CE48" s="22"/>
      <c r="CF48" s="22"/>
      <c r="CG48" s="22"/>
      <c r="CH48" s="22"/>
      <c r="CI48" s="22"/>
    </row>
    <row r="49" spans="1:87" x14ac:dyDescent="0.2">
      <c r="B49" s="23" t="s">
        <v>28</v>
      </c>
      <c r="C49" s="40">
        <v>0</v>
      </c>
      <c r="D49" s="17" t="s">
        <v>449</v>
      </c>
      <c r="H49" s="326"/>
      <c r="I49" s="328"/>
      <c r="J49" s="320"/>
      <c r="K49" s="289"/>
      <c r="M49" s="399">
        <f>ABS(I49)</f>
        <v>0</v>
      </c>
      <c r="O49" s="108"/>
      <c r="P49" s="108"/>
      <c r="CA49" s="22"/>
      <c r="CB49" s="22"/>
      <c r="CC49" s="22"/>
      <c r="CD49" s="22"/>
      <c r="CE49" s="22"/>
      <c r="CF49" s="22"/>
      <c r="CG49" s="22"/>
      <c r="CH49" s="22"/>
      <c r="CI49" s="22"/>
    </row>
    <row r="50" spans="1:87" x14ac:dyDescent="0.2">
      <c r="A50" s="17" t="str">
        <f>IF(T18=1,"Coefficient of friction for external guides"," ")</f>
        <v>Coefficient of friction for external guides</v>
      </c>
      <c r="E50" s="40">
        <v>0.01</v>
      </c>
      <c r="H50" s="326"/>
      <c r="I50" s="328"/>
      <c r="J50" s="320"/>
      <c r="K50" s="289"/>
      <c r="M50" s="399">
        <f t="shared" ref="M50:M51" si="2">ABS(I50)</f>
        <v>0</v>
      </c>
      <c r="O50" s="108"/>
      <c r="P50" s="108"/>
      <c r="CA50" s="22"/>
      <c r="CB50" s="22"/>
      <c r="CC50" s="22"/>
      <c r="CD50" s="22"/>
      <c r="CE50" s="22"/>
      <c r="CF50" s="22"/>
      <c r="CG50" s="22"/>
      <c r="CH50" s="22"/>
      <c r="CI50" s="22"/>
    </row>
    <row r="51" spans="1:87" ht="15" x14ac:dyDescent="0.25">
      <c r="H51" s="326"/>
      <c r="I51" s="328"/>
      <c r="J51" s="320"/>
      <c r="K51" s="289"/>
      <c r="M51" s="399">
        <f t="shared" si="2"/>
        <v>0</v>
      </c>
      <c r="O51" s="108"/>
      <c r="P51" s="108"/>
      <c r="Q51" s="341" t="s">
        <v>88</v>
      </c>
      <c r="R51" s="339"/>
      <c r="S51" s="339"/>
      <c r="T51" s="339"/>
      <c r="U51" s="339"/>
      <c r="V51" s="339"/>
      <c r="W51" s="339"/>
      <c r="X51" s="339"/>
      <c r="Y51" s="339"/>
      <c r="Z51" s="339"/>
      <c r="AA51" s="339"/>
      <c r="AB51" s="339"/>
      <c r="AC51" s="339"/>
      <c r="AD51" s="339"/>
      <c r="AE51" s="293"/>
      <c r="AF51" s="293"/>
    </row>
    <row r="52" spans="1:87" ht="15" x14ac:dyDescent="0.25">
      <c r="B52" s="23" t="s">
        <v>32</v>
      </c>
      <c r="C52" s="40">
        <v>0.6</v>
      </c>
      <c r="D52" s="17" t="s">
        <v>34</v>
      </c>
      <c r="E52" s="49" t="str">
        <f>IF(C52&gt;AJ4,"Too high speed"," ")</f>
        <v xml:space="preserve"> </v>
      </c>
      <c r="G52" s="49" t="str">
        <f>IF(R87&gt;3001,"Too high rpm"," ")</f>
        <v xml:space="preserve"> </v>
      </c>
      <c r="H52" s="320"/>
      <c r="I52" s="320"/>
      <c r="J52" s="320"/>
      <c r="K52" s="289"/>
      <c r="O52" s="108"/>
      <c r="P52" s="108"/>
      <c r="Q52" s="342"/>
      <c r="R52" s="320"/>
      <c r="S52" s="320"/>
      <c r="T52" s="320"/>
      <c r="U52" s="320"/>
      <c r="V52" s="320"/>
      <c r="W52" s="320"/>
      <c r="X52" s="320"/>
      <c r="Y52" s="320"/>
      <c r="Z52" s="320"/>
      <c r="AA52" s="320"/>
      <c r="AB52" s="326" t="s">
        <v>72</v>
      </c>
      <c r="AC52" s="320"/>
      <c r="AD52" s="320"/>
      <c r="AE52" s="476"/>
      <c r="AF52" s="477"/>
    </row>
    <row r="53" spans="1:87" ht="15" x14ac:dyDescent="0.25">
      <c r="B53" s="23" t="s">
        <v>33</v>
      </c>
      <c r="C53" s="40">
        <v>1.2</v>
      </c>
      <c r="D53" s="17" t="s">
        <v>35</v>
      </c>
      <c r="E53" s="49" t="str">
        <f>IF(C53&gt;40,"Too high acceleration"," ")</f>
        <v xml:space="preserve"> </v>
      </c>
      <c r="K53" s="289"/>
      <c r="O53" s="108"/>
      <c r="P53" s="108"/>
      <c r="Q53" s="314"/>
      <c r="R53" s="320"/>
      <c r="S53" s="320"/>
      <c r="T53" s="320"/>
      <c r="U53" s="320"/>
      <c r="V53" s="320"/>
      <c r="W53" s="320"/>
      <c r="X53" s="320"/>
      <c r="Y53" s="343" t="s">
        <v>69</v>
      </c>
      <c r="Z53" s="320"/>
      <c r="AA53" s="320"/>
      <c r="AB53" s="326" t="s">
        <v>73</v>
      </c>
      <c r="AC53" s="320"/>
      <c r="AD53" s="320"/>
      <c r="AE53" s="293"/>
      <c r="AF53" s="293"/>
    </row>
    <row r="54" spans="1:87" x14ac:dyDescent="0.2">
      <c r="K54" s="289"/>
      <c r="O54" s="108"/>
      <c r="P54" s="108"/>
      <c r="Q54" s="347"/>
      <c r="R54" s="326"/>
      <c r="S54" s="326"/>
      <c r="T54" s="326"/>
      <c r="U54" s="320"/>
      <c r="V54" s="348"/>
      <c r="W54" s="400"/>
      <c r="X54" s="320"/>
      <c r="Y54" s="326" t="s">
        <v>20</v>
      </c>
      <c r="Z54" s="349">
        <f>C42+(C49+AM4)*C53+C49*10+AM4*10</f>
        <v>15.904</v>
      </c>
      <c r="AA54" s="320" t="s">
        <v>21</v>
      </c>
      <c r="AB54" s="326">
        <f>AB4</f>
        <v>4000</v>
      </c>
      <c r="AC54" s="320"/>
      <c r="AD54" s="320"/>
      <c r="AH54" s="351">
        <f>Z54</f>
        <v>15.904</v>
      </c>
      <c r="AI54" s="351">
        <f>C42+C49*10+AM4*10</f>
        <v>14.2</v>
      </c>
    </row>
    <row r="55" spans="1:87" ht="15" x14ac:dyDescent="0.25">
      <c r="A55" s="17" t="s">
        <v>49</v>
      </c>
      <c r="C55" s="40">
        <v>2200</v>
      </c>
      <c r="D55" s="17" t="s">
        <v>50</v>
      </c>
      <c r="F55" s="49" t="str">
        <f>IF(C55&gt;C19,"This is longer than stroke of unit !"," ")</f>
        <v xml:space="preserve"> </v>
      </c>
      <c r="K55" s="289"/>
      <c r="O55" s="108"/>
      <c r="P55" s="108"/>
      <c r="Q55" s="347"/>
      <c r="R55" s="326"/>
      <c r="S55" s="326"/>
      <c r="T55" s="326"/>
      <c r="U55" s="320"/>
      <c r="V55" s="348"/>
      <c r="W55" s="320"/>
      <c r="X55" s="320"/>
      <c r="Y55" s="326" t="s">
        <v>22</v>
      </c>
      <c r="Z55" s="326">
        <f>C43</f>
        <v>0</v>
      </c>
      <c r="AA55" s="320" t="s">
        <v>21</v>
      </c>
      <c r="AB55" s="326">
        <f>AC4</f>
        <v>0</v>
      </c>
      <c r="AC55" s="352"/>
      <c r="AD55" s="320"/>
    </row>
    <row r="56" spans="1:87" x14ac:dyDescent="0.2">
      <c r="K56" s="289"/>
      <c r="O56" s="108"/>
      <c r="P56" s="108"/>
      <c r="Q56" s="347"/>
      <c r="R56" s="326"/>
      <c r="S56" s="326"/>
      <c r="T56" s="326"/>
      <c r="U56" s="320"/>
      <c r="V56" s="348"/>
      <c r="W56" s="320"/>
      <c r="X56" s="320"/>
      <c r="Y56" s="326" t="s">
        <v>23</v>
      </c>
      <c r="Z56" s="326">
        <f>C44</f>
        <v>0</v>
      </c>
      <c r="AA56" s="320" t="s">
        <v>21</v>
      </c>
      <c r="AB56" s="326">
        <f>AD4</f>
        <v>0</v>
      </c>
      <c r="AC56" s="352"/>
      <c r="AD56" s="320"/>
    </row>
    <row r="57" spans="1:87" x14ac:dyDescent="0.2">
      <c r="A57" s="17" t="s">
        <v>51</v>
      </c>
      <c r="K57" s="289"/>
      <c r="O57" s="108"/>
      <c r="P57" s="108"/>
      <c r="Q57" s="347"/>
      <c r="R57" s="320"/>
      <c r="S57" s="320"/>
      <c r="T57" s="320"/>
      <c r="U57" s="320"/>
      <c r="V57" s="320"/>
      <c r="W57" s="320"/>
      <c r="X57" s="320"/>
      <c r="Y57" s="326" t="s">
        <v>24</v>
      </c>
      <c r="Z57" s="326">
        <f>T54</f>
        <v>0</v>
      </c>
      <c r="AA57" s="320" t="s">
        <v>27</v>
      </c>
      <c r="AB57" s="326">
        <f>AE4</f>
        <v>0</v>
      </c>
      <c r="AC57" s="352"/>
      <c r="AD57" s="320"/>
      <c r="AE57" s="350"/>
    </row>
    <row r="58" spans="1:87" ht="15" x14ac:dyDescent="0.25">
      <c r="C58" s="65">
        <f>Blad2!C49</f>
        <v>4.1666666666666679</v>
      </c>
      <c r="D58" s="17" t="s">
        <v>52</v>
      </c>
      <c r="K58" s="289"/>
      <c r="O58" s="108"/>
      <c r="P58" s="108"/>
      <c r="Q58" s="347"/>
      <c r="R58" s="320"/>
      <c r="S58" s="320"/>
      <c r="T58" s="320"/>
      <c r="U58" s="320"/>
      <c r="V58" s="326"/>
      <c r="W58" s="320"/>
      <c r="X58" s="320"/>
      <c r="Y58" s="326" t="s">
        <v>25</v>
      </c>
      <c r="Z58" s="326">
        <f>T55</f>
        <v>0</v>
      </c>
      <c r="AA58" s="320" t="s">
        <v>27</v>
      </c>
      <c r="AB58" s="326">
        <f>AF4</f>
        <v>0</v>
      </c>
      <c r="AC58" s="352"/>
      <c r="AD58" s="320"/>
      <c r="AE58" s="350"/>
    </row>
    <row r="59" spans="1:87" x14ac:dyDescent="0.2">
      <c r="K59" s="289"/>
      <c r="O59" s="108"/>
      <c r="P59" s="108"/>
      <c r="Q59" s="347"/>
      <c r="R59" s="363"/>
      <c r="S59" s="363"/>
      <c r="T59" s="363"/>
      <c r="U59" s="363"/>
      <c r="V59" s="364"/>
      <c r="W59" s="320"/>
      <c r="X59" s="363"/>
      <c r="Y59" s="364" t="s">
        <v>26</v>
      </c>
      <c r="Z59" s="326">
        <f>T56</f>
        <v>0</v>
      </c>
      <c r="AA59" s="320" t="s">
        <v>27</v>
      </c>
      <c r="AB59" s="364">
        <f>AG4</f>
        <v>0</v>
      </c>
      <c r="AC59" s="352"/>
      <c r="AD59" s="363"/>
      <c r="AF59" s="350"/>
    </row>
    <row r="60" spans="1:87" ht="15" x14ac:dyDescent="0.25">
      <c r="A60" s="49" t="str">
        <f>Blad2!A17</f>
        <v xml:space="preserve"> </v>
      </c>
      <c r="B60" s="49"/>
      <c r="C60" s="49"/>
      <c r="D60" s="49"/>
      <c r="K60" s="289"/>
      <c r="O60" s="108"/>
      <c r="P60" s="108"/>
      <c r="Q60" s="314"/>
      <c r="R60" s="320"/>
      <c r="S60" s="320"/>
      <c r="T60" s="320"/>
      <c r="U60" s="320"/>
      <c r="V60" s="320"/>
      <c r="W60" s="320"/>
      <c r="X60" s="320"/>
      <c r="Y60" s="320"/>
      <c r="Z60" s="320"/>
      <c r="AA60" s="320"/>
      <c r="AB60" s="320"/>
      <c r="AC60" s="320"/>
      <c r="AD60" s="320"/>
    </row>
    <row r="61" spans="1:87" ht="15" x14ac:dyDescent="0.25">
      <c r="A61" s="49" t="str">
        <f>Blad2!A18</f>
        <v xml:space="preserve"> </v>
      </c>
      <c r="B61" s="49"/>
      <c r="C61" s="401" t="str">
        <f>Blad2!C18</f>
        <v xml:space="preserve"> </v>
      </c>
      <c r="D61" s="402" t="str">
        <f>Blad2!D18</f>
        <v xml:space="preserve"> </v>
      </c>
      <c r="K61" s="289"/>
      <c r="O61" s="108"/>
      <c r="P61" s="108"/>
      <c r="Q61" s="314"/>
      <c r="R61" s="320"/>
      <c r="S61" s="320"/>
      <c r="T61" s="320"/>
      <c r="U61" s="320"/>
      <c r="V61" s="320"/>
      <c r="W61" s="320"/>
      <c r="X61" s="320"/>
      <c r="Y61" s="320"/>
      <c r="Z61" s="320"/>
      <c r="AA61" s="320"/>
      <c r="AB61" s="320" t="s">
        <v>69</v>
      </c>
      <c r="AC61" s="375"/>
      <c r="AD61" s="320"/>
      <c r="AE61" s="350"/>
      <c r="AF61" s="350"/>
    </row>
    <row r="62" spans="1:87" x14ac:dyDescent="0.2">
      <c r="K62" s="289"/>
      <c r="O62" s="108"/>
      <c r="P62" s="108"/>
      <c r="Q62" s="359"/>
      <c r="R62" s="360"/>
      <c r="S62" s="360"/>
      <c r="T62" s="360"/>
      <c r="U62" s="360" t="s">
        <v>69</v>
      </c>
      <c r="V62" s="376">
        <f>SUM(V54:V61)</f>
        <v>0</v>
      </c>
      <c r="W62" s="376">
        <f>SUM(W54:W61)</f>
        <v>0</v>
      </c>
      <c r="X62" s="360" t="s">
        <v>21</v>
      </c>
      <c r="Y62" s="360"/>
      <c r="Z62" s="360"/>
      <c r="AA62" s="360"/>
      <c r="AB62" s="360"/>
      <c r="AC62" s="360"/>
    </row>
    <row r="63" spans="1:87" x14ac:dyDescent="0.2">
      <c r="K63" s="289"/>
      <c r="O63" s="108"/>
      <c r="P63" s="108"/>
    </row>
    <row r="64" spans="1:87" ht="15" x14ac:dyDescent="0.25">
      <c r="K64" s="289"/>
      <c r="P64" s="108"/>
      <c r="Q64" s="341" t="s">
        <v>89</v>
      </c>
      <c r="R64" s="339"/>
      <c r="S64" s="339"/>
      <c r="T64" s="339"/>
      <c r="U64" s="339"/>
      <c r="V64" s="339"/>
      <c r="W64" s="339"/>
      <c r="X64" s="339"/>
      <c r="Y64" s="339"/>
      <c r="Z64" s="339"/>
      <c r="AA64" s="339"/>
      <c r="AB64" s="339"/>
      <c r="AC64" s="339"/>
      <c r="AD64" s="339"/>
      <c r="AE64" s="293"/>
      <c r="AF64" s="293"/>
    </row>
    <row r="65" spans="1:40" x14ac:dyDescent="0.2">
      <c r="K65" s="289"/>
      <c r="P65" s="108"/>
      <c r="Q65" s="342"/>
      <c r="R65" s="320"/>
      <c r="S65" s="320"/>
      <c r="T65" s="320"/>
      <c r="U65" s="320"/>
      <c r="V65" s="320"/>
      <c r="W65" s="320"/>
      <c r="X65" s="320"/>
      <c r="Y65" s="320"/>
      <c r="Z65" s="320"/>
      <c r="AA65" s="320"/>
      <c r="AB65" s="326" t="s">
        <v>72</v>
      </c>
      <c r="AC65" s="320"/>
      <c r="AD65" s="320"/>
      <c r="AE65" s="476"/>
      <c r="AF65" s="477"/>
    </row>
    <row r="66" spans="1:40" ht="15" x14ac:dyDescent="0.25">
      <c r="K66" s="289"/>
      <c r="P66" s="108"/>
      <c r="Q66" s="314"/>
      <c r="R66" s="320"/>
      <c r="S66" s="320"/>
      <c r="T66" s="320"/>
      <c r="U66" s="320"/>
      <c r="V66" s="320"/>
      <c r="W66" s="320"/>
      <c r="X66" s="320"/>
      <c r="Y66" s="343" t="s">
        <v>69</v>
      </c>
      <c r="Z66" s="320"/>
      <c r="AA66" s="320"/>
      <c r="AB66" s="326" t="s">
        <v>73</v>
      </c>
      <c r="AC66" s="320"/>
      <c r="AD66" s="320"/>
      <c r="AE66" s="293"/>
      <c r="AF66" s="293"/>
    </row>
    <row r="67" spans="1:40" x14ac:dyDescent="0.2">
      <c r="K67" s="289"/>
      <c r="P67" s="108"/>
      <c r="Q67" s="347"/>
      <c r="R67" s="326"/>
      <c r="S67" s="326"/>
      <c r="T67" s="326"/>
      <c r="U67" s="320"/>
      <c r="V67" s="348"/>
      <c r="W67" s="400"/>
      <c r="X67" s="320"/>
      <c r="Y67" s="326" t="s">
        <v>20</v>
      </c>
      <c r="Z67" s="349">
        <f>C42+C49*10+2*AM4*10+(C49+2*AM4)*C53</f>
        <v>31.808</v>
      </c>
      <c r="AA67" s="320" t="s">
        <v>21</v>
      </c>
      <c r="AB67" s="326">
        <f>AB4*2</f>
        <v>8000</v>
      </c>
      <c r="AC67" s="320"/>
      <c r="AD67" s="320"/>
      <c r="AH67" s="351">
        <f>Z67*AE12</f>
        <v>15.904</v>
      </c>
      <c r="AI67" s="351">
        <f>C42+C49*10+2*AM4*10</f>
        <v>28.4</v>
      </c>
    </row>
    <row r="68" spans="1:40" x14ac:dyDescent="0.2">
      <c r="K68" s="289"/>
      <c r="P68" s="108"/>
      <c r="Q68" s="347"/>
      <c r="R68" s="326"/>
      <c r="S68" s="326"/>
      <c r="T68" s="326"/>
      <c r="U68" s="320"/>
      <c r="V68" s="348"/>
      <c r="W68" s="320"/>
      <c r="X68" s="320"/>
      <c r="Y68" s="326" t="s">
        <v>22</v>
      </c>
      <c r="Z68" s="326">
        <f>C43</f>
        <v>0</v>
      </c>
      <c r="AA68" s="320" t="s">
        <v>21</v>
      </c>
      <c r="AB68" s="326">
        <f>AC4</f>
        <v>0</v>
      </c>
      <c r="AC68" s="352"/>
      <c r="AD68" s="320"/>
    </row>
    <row r="69" spans="1:40" x14ac:dyDescent="0.2">
      <c r="K69" s="289"/>
      <c r="M69" s="320"/>
      <c r="P69" s="108"/>
      <c r="Q69" s="347"/>
      <c r="R69" s="326"/>
      <c r="S69" s="326"/>
      <c r="T69" s="326"/>
      <c r="U69" s="320"/>
      <c r="V69" s="348"/>
      <c r="W69" s="320"/>
      <c r="X69" s="320"/>
      <c r="Y69" s="326" t="s">
        <v>23</v>
      </c>
      <c r="Z69" s="349">
        <f>C44+C45/D22*1000*2</f>
        <v>0</v>
      </c>
      <c r="AA69" s="320" t="s">
        <v>21</v>
      </c>
      <c r="AB69" s="326">
        <f>AD4*2</f>
        <v>0</v>
      </c>
      <c r="AC69" s="352"/>
      <c r="AD69" s="320"/>
      <c r="AE69" s="350"/>
    </row>
    <row r="70" spans="1:40" x14ac:dyDescent="0.2">
      <c r="K70" s="289"/>
      <c r="P70" s="108"/>
      <c r="Q70" s="347"/>
      <c r="R70" s="320"/>
      <c r="S70" s="320"/>
      <c r="T70" s="320"/>
      <c r="U70" s="320"/>
      <c r="V70" s="320"/>
      <c r="W70" s="320"/>
      <c r="X70" s="320"/>
      <c r="Y70" s="326" t="s">
        <v>24</v>
      </c>
      <c r="Z70" s="326">
        <v>0</v>
      </c>
      <c r="AA70" s="320" t="s">
        <v>27</v>
      </c>
      <c r="AB70" s="326"/>
      <c r="AC70" s="352"/>
      <c r="AD70" s="403"/>
    </row>
    <row r="71" spans="1:40" ht="15" x14ac:dyDescent="0.25">
      <c r="A71" s="373" t="str">
        <f>R78</f>
        <v>Horizontal mounting, single unit</v>
      </c>
      <c r="K71" s="289"/>
      <c r="P71" s="108"/>
      <c r="Q71" s="347"/>
      <c r="R71" s="320"/>
      <c r="S71" s="320"/>
      <c r="T71" s="320"/>
      <c r="U71" s="320"/>
      <c r="V71" s="326"/>
      <c r="W71" s="320"/>
      <c r="X71" s="320"/>
      <c r="Y71" s="326" t="s">
        <v>25</v>
      </c>
      <c r="Z71" s="326">
        <f>T68</f>
        <v>0</v>
      </c>
      <c r="AA71" s="320" t="s">
        <v>27</v>
      </c>
      <c r="AB71" s="326">
        <f>AF4*2</f>
        <v>0</v>
      </c>
      <c r="AC71" s="352"/>
      <c r="AD71" s="320"/>
      <c r="AE71" s="350"/>
    </row>
    <row r="72" spans="1:40" ht="15" x14ac:dyDescent="0.25">
      <c r="F72" s="49"/>
      <c r="K72" s="289"/>
      <c r="P72" s="108"/>
      <c r="Q72" s="347"/>
      <c r="R72" s="363"/>
      <c r="S72" s="363"/>
      <c r="T72" s="363"/>
      <c r="U72" s="363"/>
      <c r="V72" s="326"/>
      <c r="W72" s="363"/>
      <c r="X72" s="363"/>
      <c r="Y72" s="364" t="s">
        <v>26</v>
      </c>
      <c r="Z72" s="326">
        <f>T69</f>
        <v>0</v>
      </c>
      <c r="AA72" s="320" t="s">
        <v>27</v>
      </c>
      <c r="AB72" s="364"/>
      <c r="AC72" s="352"/>
      <c r="AD72" s="403"/>
    </row>
    <row r="73" spans="1:40" ht="15" x14ac:dyDescent="0.25">
      <c r="B73" s="404" t="s">
        <v>78</v>
      </c>
      <c r="D73" s="17" t="s">
        <v>79</v>
      </c>
      <c r="K73" s="289"/>
      <c r="P73" s="108"/>
      <c r="Q73" s="314"/>
      <c r="R73" s="320"/>
      <c r="S73" s="320"/>
      <c r="T73" s="320"/>
      <c r="U73" s="320"/>
      <c r="V73" s="320"/>
      <c r="W73" s="320"/>
      <c r="X73" s="320"/>
      <c r="Y73" s="320"/>
      <c r="Z73" s="320"/>
      <c r="AA73" s="320"/>
      <c r="AB73" s="320"/>
      <c r="AC73" s="320"/>
      <c r="AD73" s="320"/>
    </row>
    <row r="74" spans="1:40" ht="15" x14ac:dyDescent="0.25">
      <c r="A74" s="293" t="s">
        <v>20</v>
      </c>
      <c r="B74" s="405">
        <f>X78</f>
        <v>1.704</v>
      </c>
      <c r="C74" s="17" t="s">
        <v>21</v>
      </c>
      <c r="D74" s="351">
        <f>Y78</f>
        <v>4000</v>
      </c>
      <c r="E74" s="17" t="s">
        <v>21</v>
      </c>
      <c r="F74" s="49" t="str">
        <f t="shared" ref="F74" si="3">IF(B74&gt;D74,"Too much !"," ")</f>
        <v xml:space="preserve"> </v>
      </c>
      <c r="K74" s="289"/>
      <c r="P74" s="108"/>
      <c r="Q74" s="314"/>
      <c r="R74" s="320"/>
      <c r="S74" s="320"/>
      <c r="T74" s="320"/>
      <c r="U74" s="320"/>
      <c r="V74" s="320"/>
      <c r="W74" s="320"/>
      <c r="X74" s="320"/>
      <c r="Y74" s="320"/>
      <c r="Z74" s="320"/>
      <c r="AA74" s="320"/>
      <c r="AB74" s="320" t="s">
        <v>69</v>
      </c>
      <c r="AC74" s="375"/>
      <c r="AD74" s="320"/>
      <c r="AE74" s="350"/>
    </row>
    <row r="75" spans="1:40" ht="15" x14ac:dyDescent="0.25">
      <c r="A75" s="293"/>
      <c r="B75" s="405"/>
      <c r="D75" s="293"/>
      <c r="F75" s="49"/>
      <c r="K75" s="289"/>
      <c r="Q75" s="359"/>
      <c r="R75" s="360"/>
      <c r="S75" s="360"/>
      <c r="T75" s="360"/>
      <c r="U75" s="360" t="s">
        <v>69</v>
      </c>
      <c r="V75" s="376">
        <f>SUM(V67:V74)</f>
        <v>0</v>
      </c>
      <c r="W75" s="376">
        <f>SUM(W67:W74)</f>
        <v>0</v>
      </c>
      <c r="X75" s="360" t="s">
        <v>21</v>
      </c>
      <c r="Y75" s="360"/>
      <c r="Z75" s="360"/>
      <c r="AA75" s="360"/>
      <c r="AB75" s="360"/>
      <c r="AC75" s="360"/>
      <c r="AD75" s="360"/>
      <c r="AF75" s="397"/>
      <c r="AG75" s="406"/>
      <c r="AH75" s="108"/>
      <c r="AM75" s="475" t="s">
        <v>115</v>
      </c>
      <c r="AN75" s="475" t="s">
        <v>116</v>
      </c>
    </row>
    <row r="76" spans="1:40" ht="15" x14ac:dyDescent="0.25">
      <c r="A76" s="293"/>
      <c r="B76" s="405"/>
      <c r="D76" s="293"/>
      <c r="F76" s="49"/>
      <c r="K76" s="289"/>
      <c r="M76" s="320"/>
      <c r="P76" s="108"/>
      <c r="AK76" s="407" t="s">
        <v>301</v>
      </c>
      <c r="AL76" s="408"/>
      <c r="AM76" s="475"/>
      <c r="AN76" s="475"/>
    </row>
    <row r="77" spans="1:40" ht="15" x14ac:dyDescent="0.25">
      <c r="A77" s="293"/>
      <c r="B77" s="405"/>
      <c r="D77" s="351"/>
      <c r="F77" s="49"/>
      <c r="K77" s="289"/>
      <c r="P77" s="108"/>
      <c r="X77" s="479" t="s">
        <v>91</v>
      </c>
      <c r="Y77" s="479"/>
      <c r="Z77" s="479" t="s">
        <v>54</v>
      </c>
      <c r="AA77" s="479"/>
      <c r="AB77" s="479" t="s">
        <v>55</v>
      </c>
      <c r="AC77" s="479"/>
      <c r="AD77" s="478" t="s">
        <v>56</v>
      </c>
      <c r="AE77" s="478"/>
      <c r="AF77" s="479" t="s">
        <v>57</v>
      </c>
      <c r="AG77" s="479"/>
      <c r="AH77" s="479" t="s">
        <v>58</v>
      </c>
      <c r="AI77" s="479"/>
      <c r="AJ77" s="409" t="s">
        <v>92</v>
      </c>
      <c r="AK77" s="407" t="s">
        <v>302</v>
      </c>
      <c r="AL77" s="408"/>
      <c r="AM77" s="475"/>
      <c r="AN77" s="475"/>
    </row>
    <row r="78" spans="1:40" ht="15" x14ac:dyDescent="0.25">
      <c r="A78" s="293"/>
      <c r="B78" s="405"/>
      <c r="D78" s="293"/>
      <c r="F78" s="49"/>
      <c r="K78" s="289"/>
      <c r="P78" s="108"/>
      <c r="R78" s="17" t="str">
        <f>VLOOKUP($AA$18,$Q$79:R84,2)</f>
        <v>Horizontal mounting, single unit</v>
      </c>
      <c r="S78" s="17" t="str">
        <f>VLOOKUP($AA$18,$Q$79:S84,2)</f>
        <v>Horizontal mounting, single unit</v>
      </c>
      <c r="X78" s="410">
        <f>VLOOKUP($AA$18,$Q$79:X84,8)</f>
        <v>1.704</v>
      </c>
      <c r="Y78" s="410">
        <f>VLOOKUP($AA$18,$Q$79:Y84,9)</f>
        <v>4000</v>
      </c>
      <c r="Z78" s="17">
        <f>VLOOKUP($AA$18,$Q$79:Z84,10)</f>
        <v>0</v>
      </c>
      <c r="AA78" s="17">
        <f>VLOOKUP($AA$18,$Q$79:AA84,11)</f>
        <v>0</v>
      </c>
      <c r="AB78" s="17">
        <f>VLOOKUP($AA$18,$Q$79:AB84,12)</f>
        <v>0</v>
      </c>
      <c r="AC78" s="17">
        <f>VLOOKUP($AA$18,$Q$79:AC84,13)</f>
        <v>0</v>
      </c>
      <c r="AD78" s="17">
        <f>VLOOKUP($AA$18,$Q$79:AD84,14)</f>
        <v>0</v>
      </c>
      <c r="AE78" s="17">
        <f>VLOOKUP($AA$18,$Q$79:AE84,15)</f>
        <v>0</v>
      </c>
      <c r="AF78" s="17">
        <f>VLOOKUP($AA$18,$Q$79:AF84,16)</f>
        <v>0</v>
      </c>
      <c r="AG78" s="17">
        <f>VLOOKUP($AA$18,$Q$79:AG84,17)</f>
        <v>0</v>
      </c>
      <c r="AH78" s="17">
        <f>VLOOKUP($AA$18,$Q$79:AH84,18)</f>
        <v>0</v>
      </c>
      <c r="AI78" s="17">
        <f>VLOOKUP($AA$18,$Q$79:AI84,19)</f>
        <v>0</v>
      </c>
      <c r="AJ78" s="411">
        <f>VLOOKUP($AA$18,$Q$79:AJ84,20)+0.001</f>
        <v>1E-3</v>
      </c>
      <c r="AK78" s="412">
        <f>VLOOKUP($AA$18,$Q$79:AK84,21)</f>
        <v>1.704</v>
      </c>
      <c r="AL78" s="412">
        <f>VLOOKUP($AA$18,$Q$79:AL84,22)</f>
        <v>0</v>
      </c>
      <c r="AM78" s="412">
        <f>VLOOKUP($AA$18,$Q$79:AM84,23)</f>
        <v>0</v>
      </c>
      <c r="AN78" s="412">
        <f>VLOOKUP($AA$18,$Q$79:AN84,24)</f>
        <v>1.704</v>
      </c>
    </row>
    <row r="79" spans="1:40" ht="15" x14ac:dyDescent="0.25">
      <c r="F79" s="23"/>
      <c r="G79" s="287"/>
      <c r="K79" s="289"/>
      <c r="P79" s="108"/>
      <c r="Q79" s="293">
        <v>1</v>
      </c>
      <c r="R79" s="343" t="s">
        <v>450</v>
      </c>
      <c r="X79" s="410">
        <f>Z26</f>
        <v>1.704</v>
      </c>
      <c r="Y79" s="17">
        <f>AB26</f>
        <v>4000</v>
      </c>
      <c r="AJ79" s="413"/>
      <c r="AK79" s="350">
        <f>AH26</f>
        <v>1.704</v>
      </c>
      <c r="AL79" s="350">
        <f>AF33</f>
        <v>0</v>
      </c>
      <c r="AM79" s="350">
        <f>AI26</f>
        <v>0</v>
      </c>
      <c r="AN79" s="350">
        <f>AH26</f>
        <v>1.704</v>
      </c>
    </row>
    <row r="80" spans="1:40" ht="15" x14ac:dyDescent="0.25">
      <c r="B80" s="106"/>
      <c r="K80" s="289"/>
      <c r="P80" s="108"/>
      <c r="Q80" s="293">
        <v>2</v>
      </c>
      <c r="R80" s="382" t="s">
        <v>451</v>
      </c>
      <c r="X80" s="410">
        <f>Z40</f>
        <v>3.4079999999999999</v>
      </c>
      <c r="Y80" s="17">
        <f>AB40</f>
        <v>8000</v>
      </c>
      <c r="AJ80" s="413"/>
      <c r="AK80" s="350">
        <f>AH40</f>
        <v>1.704</v>
      </c>
      <c r="AL80" s="17">
        <f>AF47</f>
        <v>0</v>
      </c>
      <c r="AM80" s="350">
        <f>AI40</f>
        <v>0</v>
      </c>
      <c r="AN80" s="350">
        <f>AH40*2</f>
        <v>3.4079999999999999</v>
      </c>
    </row>
    <row r="81" spans="2:40" ht="15" x14ac:dyDescent="0.25">
      <c r="K81" s="289"/>
      <c r="P81" s="108"/>
      <c r="Q81" s="293">
        <v>3</v>
      </c>
      <c r="R81" s="343" t="s">
        <v>88</v>
      </c>
      <c r="X81" s="410">
        <f>Z54</f>
        <v>15.904</v>
      </c>
      <c r="Y81" s="17">
        <f>AB54</f>
        <v>4000</v>
      </c>
      <c r="AJ81" s="413"/>
      <c r="AK81" s="350">
        <f>AH54</f>
        <v>15.904</v>
      </c>
      <c r="AL81" s="350">
        <f>AF61</f>
        <v>0</v>
      </c>
      <c r="AM81" s="410">
        <f>AI54</f>
        <v>14.2</v>
      </c>
      <c r="AN81" s="350">
        <f>AH54</f>
        <v>15.904</v>
      </c>
    </row>
    <row r="82" spans="2:40" ht="15" x14ac:dyDescent="0.25">
      <c r="B82" s="301" t="s">
        <v>323</v>
      </c>
      <c r="C82" s="373" t="str">
        <f>CONCATENATE(AS4,"0",IF(BO16&lt;10,0,""),BO16,IF(C19&lt;1000,"-00",IF(C19&lt;10000,"-0","-")),C19,IF(G19&lt;1000,"-00",IF(G19&lt;10000,"-0","-")),G19,"x",W13,IF(Q13&lt;3,"-0000",-G18))</f>
        <v>WV06D020-02200-02770xN-0000</v>
      </c>
      <c r="K82" s="289"/>
      <c r="P82" s="108"/>
      <c r="Q82" s="293">
        <v>4</v>
      </c>
      <c r="R82" s="343" t="s">
        <v>89</v>
      </c>
      <c r="X82" s="410">
        <f>Z67</f>
        <v>31.808</v>
      </c>
      <c r="Y82" s="17">
        <f>AB67</f>
        <v>8000</v>
      </c>
      <c r="AB82" s="410"/>
      <c r="AJ82" s="413"/>
      <c r="AK82" s="350">
        <f>AH67</f>
        <v>15.904</v>
      </c>
      <c r="AL82" s="17">
        <f>AF74</f>
        <v>0</v>
      </c>
      <c r="AM82" s="410">
        <f>AI67</f>
        <v>28.4</v>
      </c>
      <c r="AN82" s="350">
        <f>AH67*2</f>
        <v>31.808</v>
      </c>
    </row>
    <row r="83" spans="2:40" x14ac:dyDescent="0.2">
      <c r="K83" s="289"/>
      <c r="P83" s="108"/>
      <c r="Q83" s="293">
        <v>5</v>
      </c>
    </row>
    <row r="84" spans="2:40" ht="15" x14ac:dyDescent="0.25">
      <c r="B84" s="373" t="s">
        <v>101</v>
      </c>
      <c r="K84" s="289"/>
      <c r="P84" s="108"/>
      <c r="Q84" s="293">
        <v>6</v>
      </c>
    </row>
    <row r="85" spans="2:40" x14ac:dyDescent="0.2">
      <c r="K85" s="289"/>
      <c r="P85" s="108"/>
    </row>
    <row r="86" spans="2:40" x14ac:dyDescent="0.2">
      <c r="C86" s="23" t="s">
        <v>103</v>
      </c>
      <c r="D86" s="40">
        <v>1</v>
      </c>
      <c r="K86" s="289"/>
      <c r="P86" s="108"/>
    </row>
    <row r="87" spans="2:40" ht="15" x14ac:dyDescent="0.25">
      <c r="B87" s="22"/>
      <c r="C87" s="414"/>
      <c r="D87" s="286"/>
      <c r="E87" s="22"/>
      <c r="F87" s="286"/>
      <c r="G87" s="22"/>
      <c r="H87" s="22"/>
      <c r="K87" s="289"/>
      <c r="M87" s="300"/>
      <c r="P87" s="108"/>
      <c r="Q87" s="23" t="s">
        <v>346</v>
      </c>
      <c r="R87" s="410">
        <f>$C$52*1000/BO16*60</f>
        <v>1800</v>
      </c>
      <c r="T87" s="23" t="s">
        <v>205</v>
      </c>
      <c r="U87" s="410">
        <f>R87*IF(L253=1,1,D110)</f>
        <v>1800</v>
      </c>
      <c r="V87" s="415" t="s">
        <v>129</v>
      </c>
      <c r="W87" s="415"/>
    </row>
    <row r="88" spans="2:40" ht="15" x14ac:dyDescent="0.25">
      <c r="C88" s="23" t="s">
        <v>321</v>
      </c>
      <c r="D88" s="125" t="str">
        <f>IF(T119&lt;100000,T119,"&gt; 100 000")</f>
        <v>&gt; 100 000</v>
      </c>
      <c r="E88" s="17" t="s">
        <v>100</v>
      </c>
      <c r="F88" s="125" t="str">
        <f>IF(R119&gt;5*10^7,"&gt;50 000",R119/1000)</f>
        <v>&gt;50 000</v>
      </c>
      <c r="G88" s="17" t="s">
        <v>102</v>
      </c>
      <c r="K88" s="289"/>
      <c r="M88" s="300"/>
      <c r="P88" s="108"/>
      <c r="R88" s="320"/>
      <c r="S88" s="320"/>
      <c r="T88" s="320"/>
      <c r="U88" s="320"/>
      <c r="V88" s="320"/>
      <c r="W88" s="320"/>
    </row>
    <row r="89" spans="2:40" ht="15" x14ac:dyDescent="0.25">
      <c r="C89" s="23" t="s">
        <v>322</v>
      </c>
      <c r="D89" s="125" t="str">
        <f>IF(T122&lt;100000,T122,"&gt; 100 000")</f>
        <v>&gt; 100 000</v>
      </c>
      <c r="E89" s="17" t="s">
        <v>100</v>
      </c>
      <c r="F89" s="125" t="str">
        <f>IF(R122&gt;5*10^7,"&gt;50 000",R122/1000)</f>
        <v>&gt;50 000</v>
      </c>
      <c r="G89" s="17" t="s">
        <v>102</v>
      </c>
      <c r="K89" s="289"/>
      <c r="M89" s="300"/>
      <c r="P89" s="108"/>
    </row>
    <row r="90" spans="2:40" x14ac:dyDescent="0.2">
      <c r="K90" s="289"/>
      <c r="M90" s="300"/>
      <c r="P90" s="108"/>
      <c r="Q90" s="23"/>
      <c r="R90" s="410"/>
    </row>
    <row r="91" spans="2:40" ht="15" x14ac:dyDescent="0.25">
      <c r="C91" s="23" t="s">
        <v>104</v>
      </c>
      <c r="D91" s="40">
        <v>1</v>
      </c>
      <c r="F91" s="23" t="s">
        <v>107</v>
      </c>
      <c r="G91" s="127">
        <f>D91*2*C58/60</f>
        <v>0.13888888888888892</v>
      </c>
      <c r="H91" s="49" t="str">
        <f>IF(G91&gt;1,"Not possible !"," ")</f>
        <v xml:space="preserve"> </v>
      </c>
      <c r="K91" s="289"/>
      <c r="P91" s="108"/>
    </row>
    <row r="92" spans="2:40" x14ac:dyDescent="0.2">
      <c r="C92" s="23" t="s">
        <v>105</v>
      </c>
      <c r="D92" s="40">
        <v>8</v>
      </c>
      <c r="K92" s="289"/>
      <c r="P92" s="108"/>
      <c r="Q92" s="23"/>
      <c r="R92" s="410"/>
    </row>
    <row r="93" spans="2:40" x14ac:dyDescent="0.2">
      <c r="C93" s="23" t="s">
        <v>106</v>
      </c>
      <c r="D93" s="40">
        <v>220</v>
      </c>
      <c r="K93" s="289"/>
      <c r="P93" s="108"/>
    </row>
    <row r="94" spans="2:40" x14ac:dyDescent="0.2">
      <c r="K94" s="289"/>
      <c r="P94" s="108"/>
      <c r="AB94" s="410"/>
      <c r="AG94" s="410"/>
      <c r="AI94" s="300"/>
    </row>
    <row r="95" spans="2:40" ht="15" x14ac:dyDescent="0.25">
      <c r="C95" s="373" t="s">
        <v>108</v>
      </c>
      <c r="D95" s="288"/>
      <c r="E95" s="22"/>
      <c r="F95" s="416"/>
      <c r="K95" s="289"/>
      <c r="P95" s="108"/>
      <c r="AB95" s="410"/>
      <c r="AG95" s="410"/>
      <c r="AI95" s="300"/>
    </row>
    <row r="96" spans="2:40" ht="15" x14ac:dyDescent="0.25">
      <c r="D96" s="128" t="str">
        <f>IF(V119&gt;50,"&gt; 50",V119)</f>
        <v>&gt; 50</v>
      </c>
      <c r="E96" s="17" t="s">
        <v>109</v>
      </c>
      <c r="F96" s="417" t="s">
        <v>321</v>
      </c>
      <c r="K96" s="289"/>
      <c r="P96" s="108"/>
    </row>
    <row r="97" spans="2:48" ht="15" x14ac:dyDescent="0.25">
      <c r="D97" s="128" t="str">
        <f>IF(V122&gt;50,"&gt; 50",V122)</f>
        <v>&gt; 50</v>
      </c>
      <c r="E97" s="17" t="s">
        <v>109</v>
      </c>
      <c r="F97" s="417" t="s">
        <v>322</v>
      </c>
      <c r="K97" s="289"/>
      <c r="P97" s="108"/>
      <c r="AA97" s="23"/>
      <c r="AB97" s="293"/>
    </row>
    <row r="98" spans="2:48" x14ac:dyDescent="0.2">
      <c r="K98" s="289"/>
      <c r="P98" s="108"/>
      <c r="T98" s="350"/>
      <c r="AA98" s="23"/>
      <c r="AB98" s="293"/>
      <c r="AC98" s="17">
        <f>2*0.19*10^-4+1.35*10^-6</f>
        <v>3.9350000000000001E-5</v>
      </c>
    </row>
    <row r="99" spans="2:48" x14ac:dyDescent="0.2">
      <c r="K99" s="289"/>
      <c r="P99" s="108"/>
      <c r="AA99" s="23"/>
      <c r="AC99" s="17">
        <f>2*0.78*10^-4+6.7*10^-6</f>
        <v>1.6270000000000002E-4</v>
      </c>
      <c r="AG99" s="410"/>
    </row>
    <row r="100" spans="2:48" ht="15" x14ac:dyDescent="0.25">
      <c r="C100" s="23" t="s">
        <v>121</v>
      </c>
      <c r="D100" s="136">
        <f>O135</f>
        <v>1.42</v>
      </c>
      <c r="E100" s="17" t="s">
        <v>119</v>
      </c>
      <c r="F100" s="125">
        <f>R87</f>
        <v>1800</v>
      </c>
      <c r="G100" s="17" t="s">
        <v>120</v>
      </c>
      <c r="H100" s="418">
        <f>C52</f>
        <v>0.6</v>
      </c>
      <c r="I100" s="17" t="s">
        <v>34</v>
      </c>
      <c r="K100" s="289"/>
      <c r="P100" s="108"/>
      <c r="AB100" s="17">
        <f>2*4.18*10^-4+6.7*10^-6</f>
        <v>8.4269999999999994E-4</v>
      </c>
      <c r="AC100" s="17">
        <f>2*184*10^-6+15*10^-6</f>
        <v>3.8299999999999999E-4</v>
      </c>
    </row>
    <row r="101" spans="2:48" x14ac:dyDescent="0.2">
      <c r="K101" s="289"/>
    </row>
    <row r="102" spans="2:48" ht="15" x14ac:dyDescent="0.25">
      <c r="C102" s="23" t="s">
        <v>122</v>
      </c>
      <c r="D102" s="419">
        <f>P145</f>
        <v>1.42</v>
      </c>
      <c r="E102" s="17" t="s">
        <v>119</v>
      </c>
      <c r="F102" s="420">
        <f>D102*R87/9.55</f>
        <v>267.64397905759159</v>
      </c>
      <c r="G102" s="17" t="s">
        <v>124</v>
      </c>
      <c r="K102" s="289"/>
      <c r="Q102" s="320"/>
      <c r="R102" s="320"/>
      <c r="S102" s="320"/>
      <c r="T102" s="320"/>
      <c r="U102" s="480"/>
      <c r="V102" s="480"/>
      <c r="W102" s="476"/>
      <c r="X102" s="476"/>
      <c r="AC102" s="293"/>
    </row>
    <row r="103" spans="2:48" ht="15" x14ac:dyDescent="0.25">
      <c r="C103" s="23" t="s">
        <v>123</v>
      </c>
      <c r="D103" s="419">
        <f>P146</f>
        <v>1.5143715198537178</v>
      </c>
      <c r="E103" s="17" t="s">
        <v>119</v>
      </c>
      <c r="F103" s="420">
        <f>D103*R87/9.55</f>
        <v>285.43128122897298</v>
      </c>
      <c r="G103" s="17" t="s">
        <v>124</v>
      </c>
      <c r="K103" s="289"/>
      <c r="Q103" s="326"/>
      <c r="R103" s="326"/>
      <c r="S103" s="326"/>
      <c r="T103" s="326"/>
      <c r="U103" s="326"/>
      <c r="V103" s="326"/>
      <c r="W103" s="320"/>
      <c r="X103" s="320"/>
      <c r="Y103" s="17">
        <f>IF(Q4&lt;=2,2,IF(Q4=5,4,3))</f>
        <v>2</v>
      </c>
      <c r="AB103" s="293" t="s">
        <v>114</v>
      </c>
      <c r="AC103" s="293"/>
    </row>
    <row r="104" spans="2:48" ht="15" x14ac:dyDescent="0.25">
      <c r="C104" s="23" t="s">
        <v>219</v>
      </c>
      <c r="D104" s="421">
        <f>S154</f>
        <v>2.4872960807721195E-4</v>
      </c>
      <c r="E104" s="17" t="s">
        <v>220</v>
      </c>
      <c r="K104" s="289"/>
      <c r="Q104" s="320"/>
      <c r="R104" s="320"/>
      <c r="S104" s="320"/>
      <c r="T104" s="320"/>
      <c r="U104" s="320"/>
      <c r="V104" s="326"/>
      <c r="W104" s="320"/>
      <c r="X104" s="320"/>
      <c r="AA104" s="17" t="str">
        <f>VLOOKUP(Y103,Z105:AB108,2)</f>
        <v>GS19</v>
      </c>
      <c r="AB104" s="17">
        <f>VLOOKUP(Y103,Z105:AB108,3)</f>
        <v>3.8999999999999999E-5</v>
      </c>
    </row>
    <row r="105" spans="2:48" ht="15" x14ac:dyDescent="0.25">
      <c r="B105" s="49" t="str">
        <f>IF(AND(Q18=1,P146&gt;AI4),"Too high drive torque",IF(AND(Q18=2,P146&gt;2*AI4),"Too high drive torque"," "))</f>
        <v xml:space="preserve"> </v>
      </c>
      <c r="K105" s="289"/>
      <c r="Q105" s="320"/>
      <c r="R105" s="320"/>
      <c r="S105" s="320"/>
      <c r="T105" s="320"/>
      <c r="U105" s="320"/>
      <c r="V105" s="320"/>
      <c r="W105" s="320"/>
      <c r="X105" s="320"/>
      <c r="Z105" s="17">
        <v>1</v>
      </c>
      <c r="AA105" s="17" t="s">
        <v>192</v>
      </c>
      <c r="AB105" s="17">
        <f>0.0000065</f>
        <v>6.4999999999999996E-6</v>
      </c>
    </row>
    <row r="106" spans="2:48" x14ac:dyDescent="0.2">
      <c r="K106" s="289"/>
      <c r="Q106" s="320"/>
      <c r="R106" s="320"/>
      <c r="S106" s="320"/>
      <c r="T106" s="320"/>
      <c r="U106" s="320"/>
      <c r="V106" s="320"/>
      <c r="W106" s="320"/>
      <c r="X106" s="320"/>
      <c r="Y106" s="17" t="s">
        <v>360</v>
      </c>
      <c r="Z106" s="17">
        <v>2</v>
      </c>
      <c r="AA106" s="17" t="s">
        <v>193</v>
      </c>
      <c r="AB106" s="422">
        <v>3.8999999999999999E-5</v>
      </c>
    </row>
    <row r="107" spans="2:48" ht="15" x14ac:dyDescent="0.25">
      <c r="B107" s="423" t="s">
        <v>125</v>
      </c>
      <c r="C107" s="424"/>
      <c r="K107" s="289"/>
      <c r="Q107" s="320"/>
      <c r="R107" s="320"/>
      <c r="S107" s="320"/>
      <c r="T107" s="320"/>
      <c r="U107" s="320"/>
      <c r="V107" s="320"/>
      <c r="W107" s="320"/>
      <c r="X107" s="320"/>
      <c r="Y107" s="17" t="s">
        <v>361</v>
      </c>
      <c r="Z107" s="17">
        <v>3</v>
      </c>
      <c r="AA107" s="17" t="s">
        <v>194</v>
      </c>
      <c r="AB107" s="17">
        <v>1.63E-4</v>
      </c>
    </row>
    <row r="108" spans="2:48" ht="15" x14ac:dyDescent="0.25">
      <c r="I108" s="425"/>
      <c r="J108" s="426"/>
      <c r="K108" s="289"/>
      <c r="Y108" s="17" t="s">
        <v>362</v>
      </c>
      <c r="Z108" s="17">
        <v>4</v>
      </c>
      <c r="AA108" s="17" t="s">
        <v>359</v>
      </c>
      <c r="AB108" s="17">
        <v>3.8000000000000002E-4</v>
      </c>
    </row>
    <row r="109" spans="2:48" ht="15" x14ac:dyDescent="0.25">
      <c r="I109" s="427"/>
      <c r="J109" s="426"/>
      <c r="K109" s="289"/>
    </row>
    <row r="110" spans="2:48" ht="15" x14ac:dyDescent="0.25">
      <c r="C110" s="23" t="str">
        <f>IF($L$253=2,"Ratio"," ")</f>
        <v xml:space="preserve"> </v>
      </c>
      <c r="D110" s="154">
        <v>4</v>
      </c>
      <c r="I110" s="428"/>
      <c r="J110" s="426"/>
      <c r="K110" s="289"/>
    </row>
    <row r="111" spans="2:48" x14ac:dyDescent="0.2">
      <c r="C111" s="23" t="str">
        <f>IF($L$253=2,"Effiency factor"," ")</f>
        <v xml:space="preserve"> </v>
      </c>
      <c r="D111" s="155">
        <v>0.95</v>
      </c>
      <c r="K111" s="289"/>
    </row>
    <row r="112" spans="2:48" ht="15.75" x14ac:dyDescent="0.25">
      <c r="C112" s="23" t="str">
        <f>IF($L$253=2,"Idle torque"," ")</f>
        <v xml:space="preserve"> </v>
      </c>
      <c r="D112" s="154">
        <v>0.1</v>
      </c>
      <c r="E112" s="417" t="str">
        <f>IF($L$253=2,"Nm"," ")</f>
        <v xml:space="preserve"> </v>
      </c>
      <c r="K112" s="289"/>
      <c r="AP112" s="429"/>
      <c r="AQ112" s="426"/>
      <c r="AR112" s="426"/>
      <c r="AS112" s="426"/>
      <c r="AT112" s="430"/>
      <c r="AU112" s="431"/>
      <c r="AV112" s="22"/>
    </row>
    <row r="113" spans="2:48" ht="15.75" x14ac:dyDescent="0.25">
      <c r="C113" s="23" t="str">
        <f>IF($L$253=2,"Inertia"," ")</f>
        <v xml:space="preserve"> </v>
      </c>
      <c r="D113" s="154">
        <v>5.0000000000000002E-5</v>
      </c>
      <c r="E113" s="417" t="str">
        <f>IF($L$253=2,"kg m²"," ")</f>
        <v xml:space="preserve"> </v>
      </c>
      <c r="F113" s="373" t="str">
        <f>IF(AND(L253=2,Q18=2),"Total inertia for gears and parallel shaft"," ")</f>
        <v xml:space="preserve"> </v>
      </c>
      <c r="K113" s="289"/>
      <c r="AP113" s="432"/>
      <c r="AQ113" s="433"/>
      <c r="AR113" s="434"/>
      <c r="AS113" s="435"/>
      <c r="AT113" s="432"/>
      <c r="AU113" s="431"/>
      <c r="AV113" s="22"/>
    </row>
    <row r="114" spans="2:48" ht="15" x14ac:dyDescent="0.2">
      <c r="K114" s="289"/>
      <c r="AP114" s="432"/>
      <c r="AQ114" s="433"/>
      <c r="AR114" s="434"/>
      <c r="AS114" s="433"/>
      <c r="AT114" s="436"/>
      <c r="AU114" s="431"/>
      <c r="AV114" s="22"/>
    </row>
    <row r="115" spans="2:48" ht="15.75" x14ac:dyDescent="0.25">
      <c r="K115" s="289"/>
      <c r="AP115" s="426"/>
      <c r="AQ115" s="426"/>
      <c r="AR115" s="432"/>
      <c r="AS115" s="435"/>
      <c r="AT115" s="430"/>
      <c r="AU115" s="431"/>
      <c r="AV115" s="22"/>
    </row>
    <row r="116" spans="2:48" ht="15.75" x14ac:dyDescent="0.25">
      <c r="K116" s="289"/>
      <c r="M116" s="373" t="s">
        <v>303</v>
      </c>
      <c r="AP116" s="436"/>
      <c r="AQ116" s="426"/>
      <c r="AR116" s="426"/>
      <c r="AS116" s="426"/>
      <c r="AT116" s="432"/>
      <c r="AU116" s="429"/>
      <c r="AV116" s="22"/>
    </row>
    <row r="117" spans="2:48" ht="15.75" x14ac:dyDescent="0.25">
      <c r="K117" s="289"/>
      <c r="AP117" s="436"/>
      <c r="AQ117" s="426"/>
      <c r="AR117" s="426"/>
      <c r="AS117" s="435"/>
      <c r="AT117" s="436"/>
      <c r="AU117" s="436"/>
      <c r="AV117" s="22"/>
    </row>
    <row r="118" spans="2:48" ht="18.75" x14ac:dyDescent="0.35">
      <c r="C118" s="23" t="str">
        <f>IF(OR(L257=2,L257=3),"Nominal torque",IF(L257=4,"Holding torque"," "))</f>
        <v>Nominal torque</v>
      </c>
      <c r="D118" s="128">
        <f>IF(L257=2,Q197,IF(L257=3,R168,IF(L257=4,O225," ")))</f>
        <v>3.7726591549295785</v>
      </c>
      <c r="E118" s="17" t="str">
        <f>IF(L257=2,"Nm",IF(L257=3,"Nm at max speed",IF(L257=4,"Nm"," ")))</f>
        <v>Nm</v>
      </c>
      <c r="J118" s="437"/>
      <c r="K118" s="289"/>
      <c r="N118" s="17" t="s">
        <v>311</v>
      </c>
      <c r="AP118" s="431"/>
      <c r="AQ118" s="426"/>
      <c r="AR118" s="432"/>
      <c r="AS118" s="436"/>
      <c r="AT118" s="432"/>
      <c r="AU118" s="436"/>
      <c r="AV118" s="22"/>
    </row>
    <row r="119" spans="2:48" ht="18.75" x14ac:dyDescent="0.35">
      <c r="C119" s="23" t="str">
        <f>IF($L$257=2,"Nominal speed",IF($L$257=3,"Peak torque"," "))</f>
        <v>Nominal speed</v>
      </c>
      <c r="D119" s="157">
        <f>IF(L257=2,O197,IF(L257=3,S168," "))</f>
        <v>2840</v>
      </c>
      <c r="E119" s="417" t="str">
        <f>IF($L$257=2,"rpm",IF($L$257=3,"Nm"," "))</f>
        <v>rpm</v>
      </c>
      <c r="J119" s="437"/>
      <c r="K119" s="289"/>
      <c r="N119" s="17" t="s">
        <v>312</v>
      </c>
      <c r="P119" s="17">
        <f>(AW4/(AK78+AX4)/D86)^3*10^6</f>
        <v>24079945455.828934</v>
      </c>
      <c r="Q119" s="17" t="s">
        <v>317</v>
      </c>
      <c r="R119" s="17">
        <f>P119*BO16/1000</f>
        <v>481598909.1165787</v>
      </c>
      <c r="S119" s="17" t="s">
        <v>318</v>
      </c>
      <c r="T119" s="300">
        <f>R119/C52/3600</f>
        <v>222962.45792434199</v>
      </c>
      <c r="U119" s="17" t="s">
        <v>100</v>
      </c>
      <c r="V119" s="350">
        <f>R119*1000/C55/2/D91/60/D92/D93</f>
        <v>1036.4990296069618</v>
      </c>
      <c r="AP119" s="431"/>
      <c r="AQ119" s="426"/>
      <c r="AR119" s="432"/>
      <c r="AS119" s="430"/>
      <c r="AT119" s="432"/>
      <c r="AU119" s="430"/>
      <c r="AV119" s="22"/>
    </row>
    <row r="120" spans="2:48" ht="15.75" x14ac:dyDescent="0.25">
      <c r="C120" s="23" t="str">
        <f>IF($L$257=2,"Nominal power",IF($L$257=3,"Max speed"," "))</f>
        <v>Nominal power</v>
      </c>
      <c r="D120" s="157">
        <f>IF(L257=2,P197,IF(L257=3,O168," "))</f>
        <v>1.1000000000000001</v>
      </c>
      <c r="E120" s="417" t="str">
        <f>IF($L$257=2,"kW",IF($L$257=3,"rpm"," "))</f>
        <v>kW</v>
      </c>
      <c r="J120" s="437"/>
      <c r="K120" s="289"/>
      <c r="Q120" s="17" t="s">
        <v>27</v>
      </c>
      <c r="AP120" s="438"/>
      <c r="AQ120" s="426"/>
      <c r="AR120" s="432"/>
      <c r="AS120" s="430"/>
      <c r="AT120" s="432"/>
      <c r="AU120" s="430"/>
      <c r="AV120" s="22"/>
    </row>
    <row r="121" spans="2:48" ht="15.75" x14ac:dyDescent="0.25">
      <c r="C121" s="23" t="str">
        <f>IF(L257=3,"Nominal power"," ")</f>
        <v xml:space="preserve"> </v>
      </c>
      <c r="D121" s="157" t="str">
        <f>IF(L257=3,P168," ")</f>
        <v xml:space="preserve"> </v>
      </c>
      <c r="E121" s="17" t="str">
        <f>IF(L257=3,"kW"," ")</f>
        <v xml:space="preserve"> </v>
      </c>
      <c r="J121" s="437"/>
      <c r="K121" s="289"/>
      <c r="Q121" s="17" t="s">
        <v>355</v>
      </c>
      <c r="AP121" s="431"/>
      <c r="AQ121" s="426"/>
      <c r="AR121" s="432"/>
      <c r="AS121" s="430"/>
      <c r="AT121" s="432"/>
      <c r="AU121" s="430"/>
      <c r="AV121" s="22"/>
    </row>
    <row r="122" spans="2:48" ht="18.75" x14ac:dyDescent="0.35">
      <c r="C122" s="439" t="str">
        <f>IF(L257=5,"Customer motor data:"," ")</f>
        <v xml:space="preserve"> </v>
      </c>
      <c r="D122" s="158" t="s">
        <v>217</v>
      </c>
      <c r="E122" s="158"/>
      <c r="F122" s="158"/>
      <c r="G122" s="158"/>
      <c r="H122" s="158"/>
      <c r="I122" s="158"/>
      <c r="K122" s="289"/>
      <c r="N122" s="17" t="s">
        <v>313</v>
      </c>
      <c r="P122" s="17">
        <f>(BA4/(AY4+AK78)/D86)^3*10^6</f>
        <v>65269670092.760696</v>
      </c>
      <c r="Q122" s="17" t="s">
        <v>319</v>
      </c>
      <c r="R122" s="17">
        <f>P122*BO16/1000</f>
        <v>1305393401.8552139</v>
      </c>
      <c r="S122" s="17" t="s">
        <v>318</v>
      </c>
      <c r="T122" s="300">
        <f>R122/C52/3600</f>
        <v>604348.79715519166</v>
      </c>
      <c r="U122" s="17" t="s">
        <v>100</v>
      </c>
      <c r="V122" s="350">
        <f>R122*1000/C55/2/D91/60/D92/D93</f>
        <v>2809.4727140478949</v>
      </c>
      <c r="AP122" s="426"/>
      <c r="AQ122" s="426"/>
      <c r="AR122" s="432"/>
      <c r="AS122" s="430"/>
      <c r="AT122" s="432"/>
      <c r="AU122" s="430"/>
      <c r="AV122" s="22"/>
    </row>
    <row r="123" spans="2:48" ht="15" x14ac:dyDescent="0.25">
      <c r="D123" s="158"/>
      <c r="E123" s="158"/>
      <c r="F123" s="158"/>
      <c r="G123" s="158"/>
      <c r="H123" s="158"/>
      <c r="I123" s="158"/>
      <c r="K123" s="289"/>
      <c r="AP123" s="22"/>
      <c r="AQ123" s="22"/>
      <c r="AR123" s="22"/>
      <c r="AS123" s="22"/>
      <c r="AT123" s="22"/>
      <c r="AU123" s="22"/>
      <c r="AV123" s="22"/>
    </row>
    <row r="124" spans="2:48" ht="15" x14ac:dyDescent="0.25">
      <c r="D124" s="158"/>
      <c r="E124" s="158"/>
      <c r="F124" s="158"/>
      <c r="G124" s="158"/>
      <c r="H124" s="158"/>
      <c r="I124" s="158"/>
      <c r="K124" s="289"/>
      <c r="AF124" s="18">
        <v>1</v>
      </c>
    </row>
    <row r="125" spans="2:48" ht="15" x14ac:dyDescent="0.25">
      <c r="D125" s="158"/>
      <c r="E125" s="158"/>
      <c r="F125" s="158"/>
      <c r="G125" s="158"/>
      <c r="H125" s="158"/>
      <c r="I125" s="158"/>
      <c r="K125" s="289"/>
      <c r="N125" s="23" t="s">
        <v>354</v>
      </c>
      <c r="O125" s="413">
        <v>0.9</v>
      </c>
      <c r="AA125" s="293" t="s">
        <v>99</v>
      </c>
      <c r="AB125" s="293"/>
      <c r="AC125" s="293" t="s">
        <v>203</v>
      </c>
      <c r="AF125" s="440" t="s">
        <v>222</v>
      </c>
    </row>
    <row r="126" spans="2:48" ht="15" x14ac:dyDescent="0.25">
      <c r="C126" s="23" t="str">
        <f>IF(L257=5,"Motor inertia:"," ")</f>
        <v xml:space="preserve"> </v>
      </c>
      <c r="D126" s="159">
        <v>2.9999999999999997E-4</v>
      </c>
      <c r="E126" s="303" t="str">
        <f>IF(L257=5,"kg m²"," ")</f>
        <v xml:space="preserve"> </v>
      </c>
      <c r="F126" s="441"/>
      <c r="G126" s="441"/>
      <c r="H126" s="441"/>
      <c r="I126" s="441"/>
      <c r="K126" s="289"/>
      <c r="AA126" s="293" t="s">
        <v>202</v>
      </c>
      <c r="AB126" s="293"/>
      <c r="AC126" s="293" t="s">
        <v>202</v>
      </c>
      <c r="AF126" s="440" t="s">
        <v>225</v>
      </c>
    </row>
    <row r="127" spans="2:48" ht="15" x14ac:dyDescent="0.25">
      <c r="B127" s="404"/>
      <c r="K127" s="289"/>
      <c r="M127" s="320"/>
      <c r="N127" s="320"/>
      <c r="O127" s="320"/>
      <c r="P127" s="320"/>
      <c r="Y127" s="5" t="s">
        <v>126</v>
      </c>
      <c r="Z127" s="440"/>
      <c r="AA127" s="442">
        <f>S154</f>
        <v>2.4872960807721195E-4</v>
      </c>
      <c r="AB127" s="14" t="s">
        <v>127</v>
      </c>
      <c r="AC127" s="442">
        <f>IF(L253=1,S154+T156+T158,(S154+T156)/D110^2/D111+T157+T158)</f>
        <v>1.2677296080772118E-3</v>
      </c>
      <c r="AD127" s="14" t="s">
        <v>127</v>
      </c>
      <c r="AF127" s="440" t="s">
        <v>367</v>
      </c>
    </row>
    <row r="128" spans="2:48" ht="15" x14ac:dyDescent="0.25">
      <c r="B128" s="443" t="s">
        <v>211</v>
      </c>
      <c r="K128" s="289"/>
      <c r="M128" s="320"/>
      <c r="N128" s="320"/>
      <c r="O128" s="326"/>
      <c r="P128" s="326"/>
      <c r="Y128" s="5" t="s">
        <v>128</v>
      </c>
      <c r="Z128" s="440"/>
      <c r="AA128" s="444">
        <f>R87</f>
        <v>1800</v>
      </c>
      <c r="AB128" s="14" t="s">
        <v>129</v>
      </c>
      <c r="AC128" s="444">
        <f>U87</f>
        <v>1800</v>
      </c>
      <c r="AD128" s="14" t="s">
        <v>129</v>
      </c>
      <c r="AF128" s="440" t="s">
        <v>368</v>
      </c>
    </row>
    <row r="129" spans="1:32" ht="15" x14ac:dyDescent="0.25">
      <c r="C129" s="23" t="s">
        <v>213</v>
      </c>
      <c r="D129" s="136">
        <f>Z147</f>
        <v>1.4343434343434343</v>
      </c>
      <c r="E129" s="17" t="s">
        <v>27</v>
      </c>
      <c r="K129" s="289"/>
      <c r="M129" s="445"/>
      <c r="N129" s="320"/>
      <c r="O129" s="320"/>
      <c r="P129" s="320"/>
      <c r="Y129" s="5" t="s">
        <v>130</v>
      </c>
      <c r="Z129" s="440"/>
      <c r="AA129" s="442">
        <f>C52/C53</f>
        <v>0.5</v>
      </c>
      <c r="AB129" s="14" t="s">
        <v>52</v>
      </c>
      <c r="AC129" s="442">
        <f>AA129</f>
        <v>0.5</v>
      </c>
      <c r="AD129" s="14" t="s">
        <v>52</v>
      </c>
      <c r="AF129" s="440" t="s">
        <v>369</v>
      </c>
    </row>
    <row r="130" spans="1:32" ht="15" x14ac:dyDescent="0.25">
      <c r="C130" s="23" t="s">
        <v>214</v>
      </c>
      <c r="D130" s="136">
        <f>Z148</f>
        <v>1.9120239506669279</v>
      </c>
      <c r="E130" s="17" t="s">
        <v>27</v>
      </c>
      <c r="K130" s="289"/>
      <c r="M130" s="23" t="str">
        <f t="shared" ref="M130:Q131" si="4">BI29</f>
        <v>Idle torque at</v>
      </c>
      <c r="N130" s="17">
        <f t="shared" si="4"/>
        <v>150</v>
      </c>
      <c r="O130" s="17">
        <f t="shared" si="4"/>
        <v>1500</v>
      </c>
      <c r="P130" s="17">
        <f t="shared" si="4"/>
        <v>3000</v>
      </c>
      <c r="Q130" s="17" t="str">
        <f t="shared" si="4"/>
        <v>rpm</v>
      </c>
      <c r="Y130" s="440"/>
      <c r="Z130" s="440"/>
      <c r="AA130" s="446">
        <f>AA127*3.14*AA128/30/AA129</f>
        <v>9.3721316323493467E-2</v>
      </c>
      <c r="AB130" s="14" t="s">
        <v>27</v>
      </c>
      <c r="AC130" s="446">
        <f>AC127*3.14*AC128/30/AC129</f>
        <v>0.47768051632349351</v>
      </c>
      <c r="AD130" s="14" t="s">
        <v>27</v>
      </c>
      <c r="AF130" s="440" t="s">
        <v>224</v>
      </c>
    </row>
    <row r="131" spans="1:32" ht="15" x14ac:dyDescent="0.25">
      <c r="C131" s="23" t="s">
        <v>215</v>
      </c>
      <c r="D131" s="136">
        <f>D129*D133/9550</f>
        <v>0.27034745359352685</v>
      </c>
      <c r="E131" s="17" t="s">
        <v>132</v>
      </c>
      <c r="K131" s="289"/>
      <c r="M131" s="23">
        <f t="shared" si="4"/>
        <v>0</v>
      </c>
      <c r="N131" s="17">
        <f t="shared" si="4"/>
        <v>0.9</v>
      </c>
      <c r="O131" s="17">
        <f t="shared" si="4"/>
        <v>1.5</v>
      </c>
      <c r="P131" s="17">
        <f t="shared" si="4"/>
        <v>1.9</v>
      </c>
      <c r="Q131" s="17" t="str">
        <f t="shared" si="4"/>
        <v>Nm</v>
      </c>
    </row>
    <row r="132" spans="1:32" ht="15" x14ac:dyDescent="0.25">
      <c r="C132" s="23" t="s">
        <v>216</v>
      </c>
      <c r="D132" s="136">
        <f>D130*D133/9550</f>
        <v>0.36038147761261469</v>
      </c>
      <c r="E132" s="17" t="s">
        <v>132</v>
      </c>
      <c r="F132" s="164">
        <f>D133/D119*50</f>
        <v>31.690140845070424</v>
      </c>
      <c r="G132" s="17" t="str">
        <f>IF(L257=2,"Hz"," ")</f>
        <v>Hz</v>
      </c>
      <c r="K132" s="289"/>
      <c r="N132" s="320"/>
      <c r="O132" s="320"/>
      <c r="P132" s="320"/>
      <c r="Q132" s="320"/>
    </row>
    <row r="133" spans="1:32" ht="15" x14ac:dyDescent="0.25">
      <c r="C133" s="23" t="s">
        <v>212</v>
      </c>
      <c r="D133" s="125">
        <f>U87</f>
        <v>1800</v>
      </c>
      <c r="E133" s="17" t="s">
        <v>129</v>
      </c>
      <c r="K133" s="289"/>
      <c r="M133" s="17" t="s">
        <v>110</v>
      </c>
      <c r="O133" s="447">
        <f>IF(R87&lt;=150,N131,IF(AND(R87&gt;150,R87&lt;=1500),N131+(R87-150)/1350*(O131-N131),O131+(R87-1500)/(Q104-1500)*(P131-O131)))</f>
        <v>1.42</v>
      </c>
      <c r="P133" s="17" t="s">
        <v>452</v>
      </c>
    </row>
    <row r="134" spans="1:32" ht="15" x14ac:dyDescent="0.25">
      <c r="C134" s="23" t="s">
        <v>209</v>
      </c>
      <c r="D134" s="128">
        <f>R161</f>
        <v>1.2936016408951141</v>
      </c>
      <c r="K134" s="289"/>
      <c r="O134" s="447"/>
    </row>
    <row r="135" spans="1:32" x14ac:dyDescent="0.2">
      <c r="K135" s="289"/>
      <c r="N135" s="17" t="s">
        <v>69</v>
      </c>
      <c r="O135" s="447">
        <f>O133*Q18</f>
        <v>1.42</v>
      </c>
      <c r="P135" s="17" t="s">
        <v>453</v>
      </c>
    </row>
    <row r="136" spans="1:32" ht="15" x14ac:dyDescent="0.25">
      <c r="A136" s="465" t="s">
        <v>218</v>
      </c>
      <c r="B136" s="167"/>
      <c r="C136" s="167"/>
      <c r="D136" s="167"/>
      <c r="E136" s="167"/>
      <c r="F136" s="167"/>
      <c r="G136" s="167"/>
      <c r="H136" s="167"/>
      <c r="I136" s="167"/>
      <c r="J136" s="167"/>
      <c r="K136" s="289"/>
    </row>
    <row r="137" spans="1:32" x14ac:dyDescent="0.2">
      <c r="A137" s="167"/>
      <c r="B137" s="167"/>
      <c r="C137" s="167"/>
      <c r="D137" s="167"/>
      <c r="E137" s="167"/>
      <c r="F137" s="167"/>
      <c r="G137" s="167"/>
      <c r="H137" s="167"/>
      <c r="I137" s="167"/>
      <c r="J137" s="167"/>
      <c r="K137" s="289"/>
    </row>
    <row r="138" spans="1:32" x14ac:dyDescent="0.2">
      <c r="A138" s="167"/>
      <c r="B138" s="167"/>
      <c r="C138" s="167"/>
      <c r="D138" s="167"/>
      <c r="E138" s="167"/>
      <c r="F138" s="167"/>
      <c r="G138" s="167"/>
      <c r="H138" s="167"/>
      <c r="I138" s="167"/>
      <c r="J138" s="167"/>
      <c r="K138" s="289"/>
    </row>
    <row r="139" spans="1:32" x14ac:dyDescent="0.2">
      <c r="A139" s="167"/>
      <c r="B139" s="167"/>
      <c r="C139" s="167"/>
      <c r="D139" s="167"/>
      <c r="E139" s="167"/>
      <c r="F139" s="167"/>
      <c r="G139" s="167"/>
      <c r="H139" s="167"/>
      <c r="I139" s="167"/>
      <c r="J139" s="167"/>
      <c r="K139" s="289"/>
    </row>
    <row r="140" spans="1:32" x14ac:dyDescent="0.2">
      <c r="A140" s="167"/>
      <c r="B140" s="167"/>
      <c r="C140" s="167"/>
      <c r="D140" s="167"/>
      <c r="E140" s="167"/>
      <c r="F140" s="167"/>
      <c r="G140" s="167"/>
      <c r="H140" s="167"/>
      <c r="I140" s="167"/>
      <c r="J140" s="167"/>
      <c r="K140" s="289"/>
    </row>
    <row r="141" spans="1:32" x14ac:dyDescent="0.2">
      <c r="A141" s="167"/>
      <c r="B141" s="167"/>
      <c r="C141" s="167"/>
      <c r="D141" s="167"/>
      <c r="E141" s="167"/>
      <c r="F141" s="167"/>
      <c r="G141" s="167"/>
      <c r="H141" s="167"/>
      <c r="I141" s="167"/>
      <c r="J141" s="167"/>
      <c r="K141" s="289"/>
    </row>
    <row r="142" spans="1:32" x14ac:dyDescent="0.2">
      <c r="A142" s="167"/>
      <c r="B142" s="167"/>
      <c r="C142" s="167"/>
      <c r="D142" s="167"/>
      <c r="E142" s="167"/>
      <c r="F142" s="167"/>
      <c r="G142" s="168"/>
      <c r="H142" s="168"/>
      <c r="I142" s="168"/>
      <c r="J142" s="168"/>
      <c r="K142" s="289"/>
    </row>
    <row r="143" spans="1:32" ht="15" x14ac:dyDescent="0.25">
      <c r="A143" s="167"/>
      <c r="B143" s="167"/>
      <c r="C143" s="167"/>
      <c r="D143" s="167"/>
      <c r="E143" s="167"/>
      <c r="F143" s="167"/>
      <c r="G143" s="168"/>
      <c r="H143" s="165"/>
      <c r="I143" s="169"/>
      <c r="J143" s="169"/>
      <c r="K143" s="289"/>
    </row>
    <row r="144" spans="1:32" ht="15" x14ac:dyDescent="0.25">
      <c r="A144" s="167"/>
      <c r="B144" s="167"/>
      <c r="C144" s="167"/>
      <c r="D144" s="167"/>
      <c r="E144" s="167"/>
      <c r="F144" s="167"/>
      <c r="G144" s="168"/>
      <c r="H144" s="165"/>
      <c r="I144" s="169"/>
      <c r="J144" s="169"/>
      <c r="K144" s="289"/>
    </row>
    <row r="145" spans="1:29" ht="15" x14ac:dyDescent="0.25">
      <c r="A145" s="167"/>
      <c r="B145" s="167"/>
      <c r="C145" s="167"/>
      <c r="D145" s="167"/>
      <c r="E145" s="167"/>
      <c r="F145" s="167"/>
      <c r="G145" s="168"/>
      <c r="H145" s="165"/>
      <c r="I145" s="169"/>
      <c r="J145" s="169"/>
      <c r="K145" s="289"/>
      <c r="L145" s="17" t="s">
        <v>117</v>
      </c>
      <c r="P145" s="17">
        <f>O135+AM78*BO16/2/1000/O125/PI()</f>
        <v>1.42</v>
      </c>
    </row>
    <row r="146" spans="1:29" ht="15" x14ac:dyDescent="0.25">
      <c r="A146" s="167"/>
      <c r="B146" s="167"/>
      <c r="C146" s="167"/>
      <c r="D146" s="167"/>
      <c r="E146" s="167"/>
      <c r="F146" s="167"/>
      <c r="G146" s="168"/>
      <c r="H146" s="170"/>
      <c r="I146" s="169"/>
      <c r="J146" s="169"/>
      <c r="K146" s="289"/>
      <c r="L146" s="17" t="s">
        <v>118</v>
      </c>
      <c r="P146" s="17">
        <f>O135+AN78*BO16/2/1000/O125/PI()+Q18*BC4*G19/1000*PI()*R87/30/C52*C53</f>
        <v>1.5143715198537178</v>
      </c>
    </row>
    <row r="147" spans="1:29" ht="15" x14ac:dyDescent="0.25">
      <c r="A147" s="167"/>
      <c r="B147" s="167"/>
      <c r="C147" s="167"/>
      <c r="D147" s="167"/>
      <c r="E147" s="167"/>
      <c r="F147" s="167"/>
      <c r="G147" s="168"/>
      <c r="H147" s="168"/>
      <c r="I147" s="168"/>
      <c r="J147" s="168"/>
      <c r="K147" s="289"/>
      <c r="V147" s="17" t="s">
        <v>204</v>
      </c>
      <c r="Z147" s="17">
        <f>IF(L253=1,P145/0.99,P145/D110/D111+D112)</f>
        <v>1.4343434343434343</v>
      </c>
      <c r="AA147" s="17" t="s">
        <v>27</v>
      </c>
      <c r="AC147" s="49" t="s">
        <v>210</v>
      </c>
    </row>
    <row r="148" spans="1:29" hidden="1" x14ac:dyDescent="0.2">
      <c r="K148" s="289"/>
      <c r="V148" s="17" t="s">
        <v>206</v>
      </c>
      <c r="Z148" s="448">
        <f>AC130+Z147</f>
        <v>1.9120239506669279</v>
      </c>
      <c r="AA148" s="17" t="s">
        <v>207</v>
      </c>
    </row>
    <row r="149" spans="1:29" hidden="1" x14ac:dyDescent="0.2">
      <c r="K149" s="289"/>
      <c r="P149" s="17">
        <f>P146-P145</f>
        <v>9.4371519853717833E-2</v>
      </c>
    </row>
    <row r="150" spans="1:29" hidden="1" x14ac:dyDescent="0.2">
      <c r="K150" s="289"/>
    </row>
    <row r="151" spans="1:29" ht="15.75" hidden="1" x14ac:dyDescent="0.25">
      <c r="K151" s="289"/>
      <c r="L151" s="17" t="s">
        <v>356</v>
      </c>
      <c r="Q151" s="17" t="s">
        <v>113</v>
      </c>
      <c r="T151" s="17">
        <f>(C49+AM4*S13*Q18)*(C52*60/2/PI()/R87)^2</f>
        <v>1.4387608077211964E-5</v>
      </c>
      <c r="U151" s="17" t="s">
        <v>114</v>
      </c>
    </row>
    <row r="152" spans="1:29" hidden="1" x14ac:dyDescent="0.2">
      <c r="K152" s="289"/>
      <c r="L152" s="17" t="s">
        <v>357</v>
      </c>
      <c r="T152" s="449">
        <f>BC4*G19/1000*Q18</f>
        <v>2.3434200000000001E-4</v>
      </c>
      <c r="U152" s="17" t="s">
        <v>114</v>
      </c>
    </row>
    <row r="153" spans="1:29" hidden="1" x14ac:dyDescent="0.2">
      <c r="K153" s="289"/>
    </row>
    <row r="154" spans="1:29" hidden="1" x14ac:dyDescent="0.2">
      <c r="K154" s="289"/>
      <c r="S154" s="17">
        <f>SUM(T151:T152)</f>
        <v>2.4872960807721195E-4</v>
      </c>
    </row>
    <row r="155" spans="1:29" hidden="1" x14ac:dyDescent="0.2">
      <c r="K155" s="289"/>
    </row>
    <row r="156" spans="1:29" hidden="1" x14ac:dyDescent="0.2">
      <c r="K156" s="289"/>
      <c r="L156" s="17" t="s">
        <v>198</v>
      </c>
      <c r="T156" s="17">
        <f>AB104*Q18</f>
        <v>3.8999999999999999E-5</v>
      </c>
    </row>
    <row r="157" spans="1:29" hidden="1" x14ac:dyDescent="0.2">
      <c r="K157" s="289"/>
      <c r="L157" s="17" t="s">
        <v>199</v>
      </c>
      <c r="T157" s="17">
        <f>IF(L253=2,D113,0)</f>
        <v>0</v>
      </c>
    </row>
    <row r="158" spans="1:29" hidden="1" x14ac:dyDescent="0.2">
      <c r="K158" s="289"/>
      <c r="L158" s="17" t="s">
        <v>200</v>
      </c>
      <c r="T158" s="17">
        <f>IF(L257=1,0,IF(L257=2,R197,IF(L257=3,V168,IF(L257=4,P225,IF(L257=5,D126,0)))))</f>
        <v>9.7999999999999997E-4</v>
      </c>
    </row>
    <row r="159" spans="1:29" hidden="1" x14ac:dyDescent="0.2">
      <c r="K159" s="289"/>
    </row>
    <row r="160" spans="1:29" hidden="1" x14ac:dyDescent="0.2">
      <c r="K160" s="289"/>
      <c r="M160" s="17" t="s">
        <v>208</v>
      </c>
      <c r="S160" s="17">
        <f>(S154+T156)/IF(L253=1,1,D110^2)+T157+T158</f>
        <v>1.2677296080772118E-3</v>
      </c>
    </row>
    <row r="161" spans="11:25" hidden="1" x14ac:dyDescent="0.2">
      <c r="K161" s="289"/>
      <c r="M161" s="17" t="s">
        <v>209</v>
      </c>
      <c r="R161" s="17">
        <f>S160/T158</f>
        <v>1.2936016408951141</v>
      </c>
    </row>
    <row r="162" spans="11:25" hidden="1" x14ac:dyDescent="0.2">
      <c r="K162" s="289"/>
    </row>
    <row r="163" spans="11:25" hidden="1" x14ac:dyDescent="0.2">
      <c r="K163" s="289"/>
    </row>
    <row r="164" spans="11:25" hidden="1" x14ac:dyDescent="0.2">
      <c r="K164" s="289"/>
    </row>
    <row r="165" spans="11:25" hidden="1" x14ac:dyDescent="0.2">
      <c r="K165" s="289"/>
      <c r="L165" s="293">
        <v>1</v>
      </c>
      <c r="M165" s="293">
        <v>2</v>
      </c>
      <c r="N165" s="293">
        <v>3</v>
      </c>
      <c r="O165" s="293">
        <v>4</v>
      </c>
      <c r="P165" s="293">
        <v>5</v>
      </c>
      <c r="Q165" s="293">
        <v>6</v>
      </c>
      <c r="R165" s="293">
        <v>7</v>
      </c>
      <c r="S165" s="293">
        <v>8</v>
      </c>
      <c r="T165" s="293">
        <v>9</v>
      </c>
      <c r="U165" s="293">
        <v>10</v>
      </c>
      <c r="V165" s="293">
        <v>11</v>
      </c>
      <c r="W165" s="293">
        <v>12</v>
      </c>
      <c r="X165" s="293">
        <v>13</v>
      </c>
      <c r="Y165" s="293">
        <v>14</v>
      </c>
    </row>
    <row r="166" spans="11:25" hidden="1" x14ac:dyDescent="0.2">
      <c r="K166" s="289"/>
    </row>
    <row r="167" spans="11:25" ht="15" hidden="1" x14ac:dyDescent="0.25">
      <c r="K167" s="289"/>
      <c r="M167" s="450" t="s">
        <v>189</v>
      </c>
      <c r="N167" s="450"/>
      <c r="O167" s="450" t="s">
        <v>131</v>
      </c>
      <c r="P167" s="451" t="s">
        <v>132</v>
      </c>
      <c r="Q167" s="451" t="s">
        <v>133</v>
      </c>
      <c r="R167" s="450" t="s">
        <v>134</v>
      </c>
      <c r="S167" s="450" t="s">
        <v>135</v>
      </c>
      <c r="T167" s="451" t="s">
        <v>126</v>
      </c>
      <c r="U167" s="450" t="s">
        <v>136</v>
      </c>
      <c r="V167" s="450"/>
      <c r="W167" s="451" t="s">
        <v>137</v>
      </c>
      <c r="X167" s="451" t="s">
        <v>138</v>
      </c>
      <c r="Y167" s="451" t="s">
        <v>139</v>
      </c>
    </row>
    <row r="168" spans="11:25" ht="15" hidden="1" x14ac:dyDescent="0.25">
      <c r="K168" s="289"/>
      <c r="L168" s="450"/>
      <c r="M168" s="452" t="str">
        <f>VLOOKUP($L$265,$L$169:M192,M$165)</f>
        <v>AKM52G</v>
      </c>
      <c r="N168" s="452">
        <f>VLOOKUP($L$265,$L$169:N192,N165)</f>
        <v>0</v>
      </c>
      <c r="O168" s="452">
        <f>VLOOKUP($L$265,$L$169:O192,O165)</f>
        <v>2500</v>
      </c>
      <c r="P168" s="452">
        <f>VLOOKUP($L$265,$L$169:P192,P165)</f>
        <v>1.85</v>
      </c>
      <c r="Q168" s="452">
        <f>VLOOKUP($L$265,$L$169:Q192,Q165)</f>
        <v>8.43</v>
      </c>
      <c r="R168" s="452">
        <f>VLOOKUP($L$265,$L$169:R192,R165)</f>
        <v>7.06</v>
      </c>
      <c r="S168" s="452">
        <f>VLOOKUP($L$265,$L$169:S192,S165)</f>
        <v>21.5</v>
      </c>
      <c r="T168" s="452">
        <f>VLOOKUP($L$265,$L$169:T192,T165)</f>
        <v>6.2E-4</v>
      </c>
      <c r="U168" s="452">
        <f>VLOOKUP($L$265,$L$169:U192,U165)</f>
        <v>1.7E-5</v>
      </c>
      <c r="V168" s="452">
        <f>VLOOKUP($L$265,$L$169:V192,V165)</f>
        <v>6.3699999999999998E-4</v>
      </c>
      <c r="W168" s="452">
        <f>VLOOKUP($L$265,$L$169:W192,W165)</f>
        <v>1.79</v>
      </c>
      <c r="X168" s="452">
        <f>VLOOKUP($L$265,$L$169:X192,X165)</f>
        <v>115</v>
      </c>
      <c r="Y168" s="452">
        <f>VLOOKUP($L$265,$L$169:Y192,Y165)</f>
        <v>3.47</v>
      </c>
    </row>
    <row r="169" spans="11:25" ht="15" hidden="1" x14ac:dyDescent="0.25">
      <c r="K169" s="289"/>
      <c r="L169" s="451">
        <v>1</v>
      </c>
      <c r="M169" s="450" t="s">
        <v>140</v>
      </c>
      <c r="N169" s="450"/>
      <c r="O169" s="451">
        <v>5000</v>
      </c>
      <c r="P169" s="451">
        <v>0.52</v>
      </c>
      <c r="Q169" s="451">
        <v>1.1499999999999999</v>
      </c>
      <c r="R169" s="451">
        <v>1</v>
      </c>
      <c r="S169" s="451">
        <v>3.88</v>
      </c>
      <c r="T169" s="451">
        <v>3.3000000000000003E-5</v>
      </c>
      <c r="U169" s="451">
        <v>1.1999999999999999E-6</v>
      </c>
      <c r="V169" s="451">
        <f t="shared" ref="V169:V183" si="5">IF($O$257=2,T169+U169,T169)</f>
        <v>3.4200000000000005E-5</v>
      </c>
      <c r="W169" s="451">
        <v>0.85</v>
      </c>
      <c r="X169" s="451">
        <v>54.5</v>
      </c>
      <c r="Y169" s="451">
        <v>21.4</v>
      </c>
    </row>
    <row r="170" spans="11:25" ht="15" hidden="1" x14ac:dyDescent="0.25">
      <c r="K170" s="289"/>
      <c r="L170" s="451">
        <v>2</v>
      </c>
      <c r="M170" s="450" t="s">
        <v>141</v>
      </c>
      <c r="N170" s="450"/>
      <c r="O170" s="451">
        <v>3000</v>
      </c>
      <c r="P170" s="451">
        <v>0.57999999999999996</v>
      </c>
      <c r="Q170" s="451">
        <v>2</v>
      </c>
      <c r="R170" s="451">
        <v>1.86</v>
      </c>
      <c r="S170" s="451">
        <v>6.92</v>
      </c>
      <c r="T170" s="451">
        <v>5.8999999999999998E-5</v>
      </c>
      <c r="U170" s="451">
        <v>1.1999999999999999E-6</v>
      </c>
      <c r="V170" s="451">
        <f t="shared" si="5"/>
        <v>6.02E-5</v>
      </c>
      <c r="W170" s="451">
        <v>1.4</v>
      </c>
      <c r="X170" s="451">
        <v>89.8</v>
      </c>
      <c r="Y170" s="451">
        <v>23</v>
      </c>
    </row>
    <row r="171" spans="11:25" ht="15" hidden="1" x14ac:dyDescent="0.25">
      <c r="K171" s="289"/>
      <c r="L171" s="451">
        <v>3</v>
      </c>
      <c r="M171" s="450" t="s">
        <v>142</v>
      </c>
      <c r="N171" s="450"/>
      <c r="O171" s="451">
        <v>4500</v>
      </c>
      <c r="P171" s="451">
        <v>1.1000000000000001</v>
      </c>
      <c r="Q171" s="451">
        <v>2.79</v>
      </c>
      <c r="R171" s="451">
        <v>2.34</v>
      </c>
      <c r="S171" s="451">
        <v>9.9600000000000009</v>
      </c>
      <c r="T171" s="453">
        <v>8.5000000000000006E-5</v>
      </c>
      <c r="U171" s="451">
        <v>1.1999999999999999E-6</v>
      </c>
      <c r="V171" s="451">
        <f t="shared" si="5"/>
        <v>8.6200000000000008E-5</v>
      </c>
      <c r="W171" s="451">
        <v>1.1000000000000001</v>
      </c>
      <c r="X171" s="451">
        <v>70.599999999999994</v>
      </c>
      <c r="Y171" s="451">
        <v>8.36</v>
      </c>
    </row>
    <row r="172" spans="11:25" ht="15" hidden="1" x14ac:dyDescent="0.25">
      <c r="K172" s="289"/>
      <c r="L172" s="451">
        <v>4</v>
      </c>
      <c r="M172" s="450" t="s">
        <v>143</v>
      </c>
      <c r="N172" s="450"/>
      <c r="O172" s="451">
        <v>3000</v>
      </c>
      <c r="P172" s="451">
        <v>0.56000000000000005</v>
      </c>
      <c r="Q172" s="451">
        <v>1.95</v>
      </c>
      <c r="R172" s="451">
        <v>1.77</v>
      </c>
      <c r="S172" s="451">
        <v>6.12</v>
      </c>
      <c r="T172" s="451">
        <v>8.1000000000000004E-5</v>
      </c>
      <c r="U172" s="451">
        <v>6.8000000000000001E-6</v>
      </c>
      <c r="V172" s="451">
        <f t="shared" si="5"/>
        <v>8.7800000000000006E-5</v>
      </c>
      <c r="W172" s="451">
        <v>1.34</v>
      </c>
      <c r="X172" s="451">
        <v>86.3</v>
      </c>
      <c r="Y172" s="451">
        <v>21.7</v>
      </c>
    </row>
    <row r="173" spans="11:25" ht="15" hidden="1" x14ac:dyDescent="0.25">
      <c r="K173" s="289"/>
      <c r="L173" s="451">
        <v>5</v>
      </c>
      <c r="M173" s="450" t="s">
        <v>144</v>
      </c>
      <c r="N173" s="450"/>
      <c r="O173" s="451">
        <v>3500</v>
      </c>
      <c r="P173" s="451">
        <v>1.03</v>
      </c>
      <c r="Q173" s="451">
        <v>3.42</v>
      </c>
      <c r="R173" s="451">
        <v>2.81</v>
      </c>
      <c r="S173" s="451">
        <v>11.3</v>
      </c>
      <c r="T173" s="451">
        <v>1.4999999999999999E-4</v>
      </c>
      <c r="U173" s="451">
        <v>6.8000000000000001E-6</v>
      </c>
      <c r="V173" s="451">
        <f t="shared" si="5"/>
        <v>1.5679999999999999E-4</v>
      </c>
      <c r="W173" s="451">
        <v>1.26</v>
      </c>
      <c r="X173" s="451">
        <v>80.900000000000006</v>
      </c>
      <c r="Y173" s="451">
        <v>7.22</v>
      </c>
    </row>
    <row r="174" spans="11:25" ht="15" hidden="1" x14ac:dyDescent="0.25">
      <c r="K174" s="289"/>
      <c r="L174" s="451">
        <v>6</v>
      </c>
      <c r="M174" s="450" t="s">
        <v>145</v>
      </c>
      <c r="N174" s="450"/>
      <c r="O174" s="451">
        <v>2500</v>
      </c>
      <c r="P174" s="451">
        <v>1.03</v>
      </c>
      <c r="Q174" s="451">
        <v>4.7</v>
      </c>
      <c r="R174" s="451">
        <v>3.92</v>
      </c>
      <c r="S174" s="451">
        <v>15.9</v>
      </c>
      <c r="T174" s="451">
        <v>2.1000000000000001E-4</v>
      </c>
      <c r="U174" s="451">
        <v>6.8000000000000001E-6</v>
      </c>
      <c r="V174" s="451">
        <f t="shared" si="5"/>
        <v>2.1680000000000001E-4</v>
      </c>
      <c r="W174" s="451">
        <v>1.72</v>
      </c>
      <c r="X174" s="451">
        <v>111</v>
      </c>
      <c r="Y174" s="451">
        <v>8.0399999999999991</v>
      </c>
    </row>
    <row r="175" spans="11:25" ht="15" hidden="1" x14ac:dyDescent="0.25">
      <c r="K175" s="289"/>
      <c r="L175" s="451">
        <v>7</v>
      </c>
      <c r="M175" s="450" t="s">
        <v>146</v>
      </c>
      <c r="N175" s="450"/>
      <c r="O175" s="451">
        <v>4000</v>
      </c>
      <c r="P175" s="451">
        <v>1.57</v>
      </c>
      <c r="Q175" s="451">
        <v>5.88</v>
      </c>
      <c r="R175" s="451">
        <v>3.76</v>
      </c>
      <c r="S175" s="451">
        <v>20.2</v>
      </c>
      <c r="T175" s="451">
        <v>2.7E-4</v>
      </c>
      <c r="U175" s="451">
        <v>6.8000000000000001E-6</v>
      </c>
      <c r="V175" s="451">
        <f t="shared" si="5"/>
        <v>2.7680000000000001E-4</v>
      </c>
      <c r="W175" s="451">
        <v>1.19</v>
      </c>
      <c r="X175" s="451">
        <v>76.599999999999994</v>
      </c>
      <c r="Y175" s="451">
        <v>2.65</v>
      </c>
    </row>
    <row r="176" spans="11:25" ht="15" hidden="1" x14ac:dyDescent="0.25">
      <c r="K176" s="289"/>
      <c r="L176" s="451">
        <v>8</v>
      </c>
      <c r="M176" s="450" t="s">
        <v>147</v>
      </c>
      <c r="N176" s="450"/>
      <c r="O176" s="451">
        <v>2500</v>
      </c>
      <c r="P176" s="451">
        <v>1.04</v>
      </c>
      <c r="Q176" s="451">
        <v>4.7</v>
      </c>
      <c r="R176" s="451">
        <v>3.98</v>
      </c>
      <c r="S176" s="451">
        <v>11.6</v>
      </c>
      <c r="T176" s="451">
        <v>3.4000000000000002E-4</v>
      </c>
      <c r="U176" s="451">
        <v>1.7E-5</v>
      </c>
      <c r="V176" s="451">
        <f t="shared" si="5"/>
        <v>3.57E-4</v>
      </c>
      <c r="W176" s="451">
        <v>1.72</v>
      </c>
      <c r="X176" s="451">
        <v>110</v>
      </c>
      <c r="Y176" s="451">
        <v>8.4700000000000006</v>
      </c>
    </row>
    <row r="177" spans="11:25" ht="15" hidden="1" x14ac:dyDescent="0.25">
      <c r="K177" s="289"/>
      <c r="L177" s="451">
        <v>9</v>
      </c>
      <c r="M177" s="450" t="s">
        <v>148</v>
      </c>
      <c r="N177" s="450"/>
      <c r="O177" s="451">
        <v>2500</v>
      </c>
      <c r="P177" s="451">
        <v>1.85</v>
      </c>
      <c r="Q177" s="451">
        <v>8.43</v>
      </c>
      <c r="R177" s="451">
        <v>7.06</v>
      </c>
      <c r="S177" s="451">
        <v>21.5</v>
      </c>
      <c r="T177" s="451">
        <v>6.2E-4</v>
      </c>
      <c r="U177" s="451">
        <v>1.7E-5</v>
      </c>
      <c r="V177" s="451">
        <f t="shared" si="5"/>
        <v>6.3699999999999998E-4</v>
      </c>
      <c r="W177" s="451">
        <v>1.79</v>
      </c>
      <c r="X177" s="451">
        <v>115</v>
      </c>
      <c r="Y177" s="451">
        <v>3.47</v>
      </c>
    </row>
    <row r="178" spans="11:25" ht="15" hidden="1" x14ac:dyDescent="0.25">
      <c r="K178" s="289"/>
      <c r="L178" s="451">
        <v>10</v>
      </c>
      <c r="M178" s="450" t="s">
        <v>149</v>
      </c>
      <c r="N178" s="450"/>
      <c r="O178" s="451">
        <v>4000</v>
      </c>
      <c r="P178" s="451">
        <v>3.2</v>
      </c>
      <c r="Q178" s="451">
        <v>11.6</v>
      </c>
      <c r="R178" s="451">
        <v>7.65</v>
      </c>
      <c r="S178" s="451">
        <v>30.1</v>
      </c>
      <c r="T178" s="451">
        <v>9.1E-4</v>
      </c>
      <c r="U178" s="451">
        <v>1.7E-5</v>
      </c>
      <c r="V178" s="451">
        <f t="shared" si="5"/>
        <v>9.2699999999999998E-4</v>
      </c>
      <c r="W178" s="451">
        <v>1.24</v>
      </c>
      <c r="X178" s="451">
        <v>79.8</v>
      </c>
      <c r="Y178" s="451">
        <v>1</v>
      </c>
    </row>
    <row r="179" spans="11:25" ht="15" hidden="1" x14ac:dyDescent="0.25">
      <c r="K179" s="289"/>
      <c r="L179" s="451">
        <v>11</v>
      </c>
      <c r="M179" s="450" t="s">
        <v>150</v>
      </c>
      <c r="N179" s="450"/>
      <c r="O179" s="451">
        <v>3500</v>
      </c>
      <c r="P179" s="451">
        <v>3.68</v>
      </c>
      <c r="Q179" s="451">
        <v>14.4</v>
      </c>
      <c r="R179" s="451">
        <v>10.050000000000001</v>
      </c>
      <c r="S179" s="451">
        <v>38.4</v>
      </c>
      <c r="T179" s="451">
        <v>1.1999999999999999E-3</v>
      </c>
      <c r="U179" s="451">
        <v>1.7E-5</v>
      </c>
      <c r="V179" s="451">
        <f t="shared" si="5"/>
        <v>1.217E-3</v>
      </c>
      <c r="W179" s="451">
        <v>1.5</v>
      </c>
      <c r="X179" s="451">
        <v>96.6</v>
      </c>
      <c r="Y179" s="451">
        <v>1.02</v>
      </c>
    </row>
    <row r="180" spans="11:25" ht="15" hidden="1" x14ac:dyDescent="0.25">
      <c r="K180" s="289"/>
      <c r="L180" s="451">
        <v>12</v>
      </c>
      <c r="M180" s="450" t="s">
        <v>151</v>
      </c>
      <c r="N180" s="450"/>
      <c r="O180" s="451">
        <v>3500</v>
      </c>
      <c r="P180" s="451">
        <v>3.3</v>
      </c>
      <c r="Q180" s="451">
        <v>12.2</v>
      </c>
      <c r="R180" s="451">
        <v>9</v>
      </c>
      <c r="S180" s="451">
        <v>30.1</v>
      </c>
      <c r="T180" s="451">
        <v>1.6999999999999999E-3</v>
      </c>
      <c r="U180" s="451">
        <v>6.0999999999999999E-5</v>
      </c>
      <c r="V180" s="451">
        <f t="shared" si="5"/>
        <v>1.761E-3</v>
      </c>
      <c r="W180" s="451">
        <v>1.28</v>
      </c>
      <c r="X180" s="451">
        <v>82.1</v>
      </c>
      <c r="Y180" s="451">
        <v>1.05</v>
      </c>
    </row>
    <row r="181" spans="11:25" ht="15" hidden="1" x14ac:dyDescent="0.25">
      <c r="K181" s="289"/>
      <c r="L181" s="451">
        <v>13</v>
      </c>
      <c r="M181" s="450" t="s">
        <v>152</v>
      </c>
      <c r="N181" s="450"/>
      <c r="O181" s="451">
        <v>3000</v>
      </c>
      <c r="P181" s="451">
        <v>4.05</v>
      </c>
      <c r="Q181" s="451">
        <v>16.8</v>
      </c>
      <c r="R181" s="451">
        <v>12.9</v>
      </c>
      <c r="S181" s="451">
        <v>42.6</v>
      </c>
      <c r="T181" s="451">
        <v>2.3999999999999998E-3</v>
      </c>
      <c r="U181" s="451">
        <v>6.0999999999999999E-5</v>
      </c>
      <c r="V181" s="451">
        <f t="shared" si="5"/>
        <v>2.4609999999999996E-3</v>
      </c>
      <c r="W181" s="451">
        <v>1.71</v>
      </c>
      <c r="X181" s="451">
        <v>110</v>
      </c>
      <c r="Y181" s="451">
        <v>1.0900000000000001</v>
      </c>
    </row>
    <row r="182" spans="11:25" ht="15" hidden="1" x14ac:dyDescent="0.25">
      <c r="K182" s="289"/>
      <c r="L182" s="451">
        <v>14</v>
      </c>
      <c r="M182" s="450" t="s">
        <v>153</v>
      </c>
      <c r="N182" s="450"/>
      <c r="O182" s="451">
        <v>3000</v>
      </c>
      <c r="P182" s="451">
        <v>4.9000000000000004</v>
      </c>
      <c r="Q182" s="451">
        <v>21</v>
      </c>
      <c r="R182" s="451">
        <v>15.6</v>
      </c>
      <c r="S182" s="451">
        <v>54.1</v>
      </c>
      <c r="T182" s="451">
        <v>3.2000000000000002E-3</v>
      </c>
      <c r="U182" s="451">
        <v>6.0999999999999999E-5</v>
      </c>
      <c r="V182" s="451">
        <f t="shared" si="5"/>
        <v>3.261E-3</v>
      </c>
      <c r="W182" s="451">
        <v>1.66</v>
      </c>
      <c r="X182" s="451">
        <v>107</v>
      </c>
      <c r="Y182" s="451">
        <v>0.71</v>
      </c>
    </row>
    <row r="183" spans="11:25" ht="15" hidden="1" x14ac:dyDescent="0.25">
      <c r="K183" s="289"/>
      <c r="L183" s="451">
        <v>15</v>
      </c>
      <c r="M183" s="450" t="s">
        <v>154</v>
      </c>
      <c r="N183" s="450"/>
      <c r="O183" s="451">
        <v>2500</v>
      </c>
      <c r="P183" s="451">
        <v>5.03</v>
      </c>
      <c r="Q183" s="451">
        <v>25</v>
      </c>
      <c r="R183" s="451">
        <v>19.2</v>
      </c>
      <c r="S183" s="451">
        <v>65.2</v>
      </c>
      <c r="T183" s="451">
        <v>4.0000000000000001E-3</v>
      </c>
      <c r="U183" s="451">
        <v>6.0999999999999999E-5</v>
      </c>
      <c r="V183" s="451">
        <f t="shared" si="5"/>
        <v>4.0610000000000004E-3</v>
      </c>
      <c r="W183" s="451">
        <v>1.85</v>
      </c>
      <c r="X183" s="451">
        <v>119</v>
      </c>
      <c r="Y183" s="451">
        <v>0.68</v>
      </c>
    </row>
    <row r="184" spans="11:25" ht="15" hidden="1" x14ac:dyDescent="0.25">
      <c r="K184" s="289"/>
      <c r="L184" s="451">
        <v>16</v>
      </c>
      <c r="M184" s="454"/>
      <c r="N184" s="454"/>
      <c r="O184" s="454"/>
      <c r="P184" s="454"/>
      <c r="Q184" s="454"/>
      <c r="R184" s="454"/>
      <c r="S184" s="454"/>
      <c r="T184" s="454"/>
      <c r="U184" s="454"/>
      <c r="V184" s="454"/>
      <c r="W184" s="454"/>
      <c r="X184" s="454"/>
      <c r="Y184" s="454"/>
    </row>
    <row r="185" spans="11:25" ht="15" hidden="1" x14ac:dyDescent="0.25">
      <c r="K185" s="289"/>
      <c r="L185" s="451">
        <v>17</v>
      </c>
      <c r="M185" s="454"/>
      <c r="N185" s="454"/>
      <c r="O185" s="454"/>
      <c r="P185" s="454"/>
      <c r="Q185" s="454"/>
      <c r="R185" s="454"/>
      <c r="S185" s="454"/>
      <c r="T185" s="454"/>
      <c r="U185" s="454"/>
      <c r="V185" s="454"/>
      <c r="W185" s="454"/>
      <c r="X185" s="454"/>
      <c r="Y185" s="454"/>
    </row>
    <row r="186" spans="11:25" ht="15" hidden="1" x14ac:dyDescent="0.25">
      <c r="K186" s="289"/>
      <c r="L186" s="451">
        <v>18</v>
      </c>
      <c r="M186" s="454"/>
      <c r="N186" s="454"/>
      <c r="O186" s="454"/>
      <c r="P186" s="454"/>
      <c r="Q186" s="454"/>
      <c r="R186" s="454"/>
      <c r="S186" s="454"/>
      <c r="T186" s="454"/>
      <c r="U186" s="454"/>
      <c r="V186" s="454"/>
      <c r="W186" s="454"/>
      <c r="X186" s="454"/>
      <c r="Y186" s="454"/>
    </row>
    <row r="187" spans="11:25" ht="15" hidden="1" x14ac:dyDescent="0.25">
      <c r="K187" s="289"/>
      <c r="L187" s="451">
        <v>19</v>
      </c>
      <c r="M187" s="454"/>
      <c r="N187" s="454"/>
      <c r="O187" s="454"/>
      <c r="P187" s="454"/>
      <c r="Q187" s="454"/>
      <c r="R187" s="454"/>
      <c r="S187" s="454"/>
      <c r="T187" s="454"/>
      <c r="U187" s="454"/>
      <c r="V187" s="454"/>
      <c r="W187" s="454"/>
      <c r="X187" s="454"/>
      <c r="Y187" s="454"/>
    </row>
    <row r="188" spans="11:25" ht="15" hidden="1" x14ac:dyDescent="0.25">
      <c r="K188" s="289"/>
      <c r="L188" s="451">
        <v>20</v>
      </c>
      <c r="M188" s="454"/>
      <c r="N188" s="454"/>
      <c r="O188" s="454"/>
      <c r="P188" s="454"/>
      <c r="Q188" s="454"/>
      <c r="R188" s="454"/>
      <c r="S188" s="454"/>
      <c r="T188" s="454"/>
      <c r="U188" s="454"/>
      <c r="V188" s="454"/>
      <c r="W188" s="454"/>
      <c r="X188" s="454"/>
      <c r="Y188" s="454"/>
    </row>
    <row r="189" spans="11:25" ht="15" hidden="1" x14ac:dyDescent="0.25">
      <c r="K189" s="289"/>
      <c r="L189" s="451">
        <v>21</v>
      </c>
      <c r="M189" s="454"/>
      <c r="N189" s="454"/>
      <c r="O189" s="454"/>
      <c r="P189" s="454"/>
      <c r="Q189" s="454"/>
      <c r="R189" s="454"/>
      <c r="S189" s="454"/>
      <c r="T189" s="454"/>
      <c r="U189" s="454"/>
      <c r="V189" s="454"/>
      <c r="W189" s="454"/>
      <c r="X189" s="454"/>
      <c r="Y189" s="454"/>
    </row>
    <row r="190" spans="11:25" ht="15" hidden="1" x14ac:dyDescent="0.25">
      <c r="K190" s="289"/>
      <c r="L190" s="451">
        <v>22</v>
      </c>
      <c r="M190" s="454"/>
      <c r="N190" s="454"/>
      <c r="O190" s="454"/>
      <c r="P190" s="454"/>
      <c r="Q190" s="454"/>
      <c r="R190" s="454"/>
      <c r="S190" s="454"/>
      <c r="T190" s="454"/>
      <c r="U190" s="454"/>
      <c r="V190" s="454"/>
      <c r="W190" s="454"/>
      <c r="X190" s="454"/>
      <c r="Y190" s="454"/>
    </row>
    <row r="191" spans="11:25" ht="15" hidden="1" x14ac:dyDescent="0.25">
      <c r="K191" s="289"/>
      <c r="L191" s="451">
        <v>23</v>
      </c>
      <c r="M191" s="454"/>
      <c r="N191" s="454"/>
      <c r="O191" s="454"/>
      <c r="P191" s="454"/>
      <c r="Q191" s="454"/>
      <c r="R191" s="454"/>
      <c r="S191" s="454"/>
      <c r="T191" s="454"/>
      <c r="U191" s="454"/>
      <c r="V191" s="454"/>
      <c r="W191" s="454"/>
      <c r="X191" s="454"/>
      <c r="Y191" s="454"/>
    </row>
    <row r="192" spans="11:25" ht="15" hidden="1" x14ac:dyDescent="0.25">
      <c r="K192" s="289"/>
      <c r="L192" s="451">
        <v>24</v>
      </c>
      <c r="M192" s="454"/>
      <c r="N192" s="454"/>
      <c r="O192" s="454"/>
      <c r="P192" s="454"/>
      <c r="Q192" s="454"/>
      <c r="R192" s="454"/>
      <c r="S192" s="454"/>
      <c r="T192" s="454"/>
      <c r="U192" s="454"/>
      <c r="V192" s="454"/>
      <c r="W192" s="454"/>
      <c r="X192" s="454"/>
      <c r="Y192" s="454"/>
    </row>
    <row r="193" spans="11:25" hidden="1" x14ac:dyDescent="0.2">
      <c r="K193" s="289"/>
      <c r="L193" s="454"/>
      <c r="M193" s="454"/>
      <c r="N193" s="454"/>
      <c r="O193" s="454"/>
      <c r="P193" s="454"/>
      <c r="Q193" s="454"/>
      <c r="R193" s="454"/>
      <c r="S193" s="454"/>
      <c r="T193" s="454"/>
      <c r="U193" s="454"/>
      <c r="V193" s="454"/>
      <c r="W193" s="454"/>
      <c r="X193" s="454"/>
      <c r="Y193" s="454"/>
    </row>
    <row r="194" spans="11:25" hidden="1" x14ac:dyDescent="0.2">
      <c r="K194" s="289"/>
    </row>
    <row r="195" spans="11:25" hidden="1" x14ac:dyDescent="0.2">
      <c r="K195" s="289"/>
    </row>
    <row r="196" spans="11:25" hidden="1" x14ac:dyDescent="0.2">
      <c r="K196" s="289"/>
      <c r="M196" s="454" t="s">
        <v>188</v>
      </c>
      <c r="N196" s="454"/>
      <c r="O196" s="455" t="s">
        <v>129</v>
      </c>
      <c r="P196" s="455" t="s">
        <v>132</v>
      </c>
      <c r="Q196" s="455" t="s">
        <v>27</v>
      </c>
      <c r="R196" s="454" t="s">
        <v>155</v>
      </c>
    </row>
    <row r="197" spans="11:25" ht="15" hidden="1" x14ac:dyDescent="0.25">
      <c r="K197" s="289"/>
      <c r="L197" s="454"/>
      <c r="M197" s="452" t="str">
        <f>VLOOKUP($L$265,$L$198:M221,M$165)</f>
        <v>IEC80 3000 rpm 1,1 kW</v>
      </c>
      <c r="N197" s="452"/>
      <c r="O197" s="452">
        <f>VLOOKUP($L$265,$L$198:O221,O$165)</f>
        <v>2840</v>
      </c>
      <c r="P197" s="452">
        <f>VLOOKUP($L$265,$L$198:P221,P$165)</f>
        <v>1.1000000000000001</v>
      </c>
      <c r="Q197" s="452">
        <f>VLOOKUP($L$265,$L$198:Q221,Q$165)</f>
        <v>3.7726591549295785</v>
      </c>
      <c r="R197" s="452">
        <f>VLOOKUP($L$265,$L$198:R221,R$165)</f>
        <v>9.7999999999999997E-4</v>
      </c>
    </row>
    <row r="198" spans="11:25" hidden="1" x14ac:dyDescent="0.2">
      <c r="K198" s="289"/>
      <c r="L198" s="455">
        <v>1</v>
      </c>
      <c r="M198" s="456" t="s">
        <v>156</v>
      </c>
      <c r="N198" s="454"/>
      <c r="O198" s="455">
        <v>2750</v>
      </c>
      <c r="P198" s="455">
        <v>0.25</v>
      </c>
      <c r="Q198" s="457">
        <f t="shared" ref="Q198:Q213" si="6">71620*1.36*P198/O198/10</f>
        <v>0.88548363636363647</v>
      </c>
      <c r="R198" s="455">
        <v>2.3000000000000001E-4</v>
      </c>
    </row>
    <row r="199" spans="11:25" hidden="1" x14ac:dyDescent="0.2">
      <c r="K199" s="289"/>
      <c r="L199" s="455">
        <v>2</v>
      </c>
      <c r="M199" s="456" t="s">
        <v>157</v>
      </c>
      <c r="N199" s="454"/>
      <c r="O199" s="455">
        <v>2750</v>
      </c>
      <c r="P199" s="455">
        <v>0.25</v>
      </c>
      <c r="Q199" s="457">
        <f t="shared" si="6"/>
        <v>0.88548363636363647</v>
      </c>
      <c r="R199" s="455">
        <v>2.5000000000000001E-4</v>
      </c>
    </row>
    <row r="200" spans="11:25" hidden="1" x14ac:dyDescent="0.2">
      <c r="K200" s="289"/>
      <c r="L200" s="455">
        <v>3</v>
      </c>
      <c r="M200" s="456" t="s">
        <v>158</v>
      </c>
      <c r="N200" s="454"/>
      <c r="O200" s="455">
        <v>1360</v>
      </c>
      <c r="P200" s="455">
        <v>0.18</v>
      </c>
      <c r="Q200" s="457">
        <f t="shared" si="6"/>
        <v>1.2891600000000001</v>
      </c>
      <c r="R200" s="455">
        <v>2.5000000000000001E-4</v>
      </c>
    </row>
    <row r="201" spans="11:25" hidden="1" x14ac:dyDescent="0.2">
      <c r="K201" s="289"/>
      <c r="L201" s="455">
        <v>4</v>
      </c>
      <c r="M201" s="456" t="s">
        <v>159</v>
      </c>
      <c r="N201" s="454"/>
      <c r="O201" s="455">
        <v>1360</v>
      </c>
      <c r="P201" s="455">
        <v>0.18</v>
      </c>
      <c r="Q201" s="457">
        <f t="shared" si="6"/>
        <v>1.2891600000000001</v>
      </c>
      <c r="R201" s="455">
        <v>3.5E-4</v>
      </c>
    </row>
    <row r="202" spans="11:25" hidden="1" x14ac:dyDescent="0.2">
      <c r="K202" s="289"/>
      <c r="L202" s="455">
        <v>5</v>
      </c>
      <c r="M202" s="456" t="s">
        <v>160</v>
      </c>
      <c r="N202" s="454"/>
      <c r="O202" s="455">
        <v>2760</v>
      </c>
      <c r="P202" s="455">
        <v>0.55000000000000004</v>
      </c>
      <c r="Q202" s="457">
        <f t="shared" si="6"/>
        <v>1.9410057971014496</v>
      </c>
      <c r="R202" s="455">
        <v>4.2000000000000002E-4</v>
      </c>
    </row>
    <row r="203" spans="11:25" hidden="1" x14ac:dyDescent="0.2">
      <c r="K203" s="289"/>
      <c r="L203" s="455">
        <v>6</v>
      </c>
      <c r="M203" s="456" t="s">
        <v>161</v>
      </c>
      <c r="N203" s="454"/>
      <c r="O203" s="455">
        <v>2760</v>
      </c>
      <c r="P203" s="455">
        <v>0.55000000000000004</v>
      </c>
      <c r="Q203" s="457">
        <v>1.9</v>
      </c>
      <c r="R203" s="455">
        <v>4.8999999999999998E-4</v>
      </c>
    </row>
    <row r="204" spans="11:25" hidden="1" x14ac:dyDescent="0.2">
      <c r="K204" s="289"/>
      <c r="L204" s="455">
        <v>7</v>
      </c>
      <c r="M204" s="456" t="s">
        <v>162</v>
      </c>
      <c r="N204" s="454"/>
      <c r="O204" s="455">
        <v>1370</v>
      </c>
      <c r="P204" s="455">
        <v>0.37</v>
      </c>
      <c r="Q204" s="457">
        <f t="shared" si="6"/>
        <v>2.6305973722627738</v>
      </c>
      <c r="R204" s="458">
        <v>8.0999999999999996E-4</v>
      </c>
    </row>
    <row r="205" spans="11:25" hidden="1" x14ac:dyDescent="0.2">
      <c r="K205" s="289"/>
      <c r="L205" s="455">
        <v>8</v>
      </c>
      <c r="M205" s="456" t="s">
        <v>163</v>
      </c>
      <c r="N205" s="454"/>
      <c r="O205" s="455">
        <v>1370</v>
      </c>
      <c r="P205" s="455">
        <v>0.37</v>
      </c>
      <c r="Q205" s="457">
        <f t="shared" si="6"/>
        <v>2.6305973722627738</v>
      </c>
      <c r="R205" s="455">
        <v>9.3999999999999997E-4</v>
      </c>
    </row>
    <row r="206" spans="11:25" hidden="1" x14ac:dyDescent="0.2">
      <c r="K206" s="289"/>
      <c r="L206" s="455">
        <v>9</v>
      </c>
      <c r="M206" s="456" t="s">
        <v>164</v>
      </c>
      <c r="N206" s="454"/>
      <c r="O206" s="455">
        <v>2840</v>
      </c>
      <c r="P206" s="455">
        <v>1.1000000000000001</v>
      </c>
      <c r="Q206" s="457">
        <f t="shared" si="6"/>
        <v>3.7726591549295785</v>
      </c>
      <c r="R206" s="455">
        <v>9.7999999999999997E-4</v>
      </c>
    </row>
    <row r="207" spans="11:25" hidden="1" x14ac:dyDescent="0.2">
      <c r="K207" s="289"/>
      <c r="L207" s="455">
        <v>10</v>
      </c>
      <c r="M207" s="456" t="s">
        <v>165</v>
      </c>
      <c r="N207" s="454"/>
      <c r="O207" s="455">
        <v>2840</v>
      </c>
      <c r="P207" s="455">
        <v>1.1000000000000001</v>
      </c>
      <c r="Q207" s="457">
        <f t="shared" si="6"/>
        <v>3.7726591549295785</v>
      </c>
      <c r="R207" s="455">
        <f>0.000061+R206</f>
        <v>1.041E-3</v>
      </c>
    </row>
    <row r="208" spans="11:25" hidden="1" x14ac:dyDescent="0.2">
      <c r="K208" s="289"/>
      <c r="L208" s="455">
        <v>11</v>
      </c>
      <c r="M208" s="456" t="s">
        <v>166</v>
      </c>
      <c r="N208" s="454"/>
      <c r="O208" s="455">
        <v>1380</v>
      </c>
      <c r="P208" s="455">
        <v>0.75</v>
      </c>
      <c r="Q208" s="457">
        <f t="shared" si="6"/>
        <v>5.2936521739130438</v>
      </c>
      <c r="R208" s="455">
        <v>1.874E-3</v>
      </c>
    </row>
    <row r="209" spans="11:18" hidden="1" x14ac:dyDescent="0.2">
      <c r="K209" s="289"/>
      <c r="L209" s="455">
        <v>12</v>
      </c>
      <c r="M209" s="456" t="s">
        <v>167</v>
      </c>
      <c r="N209" s="454"/>
      <c r="O209" s="455">
        <v>1380</v>
      </c>
      <c r="P209" s="455">
        <v>0.75</v>
      </c>
      <c r="Q209" s="457">
        <f t="shared" si="6"/>
        <v>5.2936521739130438</v>
      </c>
      <c r="R209" s="455">
        <f>0.000061+R208</f>
        <v>1.9350000000000001E-3</v>
      </c>
    </row>
    <row r="210" spans="11:18" hidden="1" x14ac:dyDescent="0.2">
      <c r="K210" s="289"/>
      <c r="L210" s="455">
        <v>13</v>
      </c>
      <c r="M210" s="456" t="s">
        <v>168</v>
      </c>
      <c r="N210" s="454"/>
      <c r="O210" s="455">
        <v>2860</v>
      </c>
      <c r="P210" s="455">
        <v>2.2000000000000002</v>
      </c>
      <c r="Q210" s="457">
        <v>7.3</v>
      </c>
      <c r="R210" s="458">
        <v>1.6100000000000001E-3</v>
      </c>
    </row>
    <row r="211" spans="11:18" hidden="1" x14ac:dyDescent="0.2">
      <c r="K211" s="289"/>
      <c r="L211" s="455">
        <v>14</v>
      </c>
      <c r="M211" s="456" t="s">
        <v>169</v>
      </c>
      <c r="N211" s="454"/>
      <c r="O211" s="455">
        <v>2850</v>
      </c>
      <c r="P211" s="455">
        <v>2.2000000000000002</v>
      </c>
      <c r="Q211" s="457">
        <f t="shared" si="6"/>
        <v>7.5188435087719316</v>
      </c>
      <c r="R211" s="458">
        <f>0.0002+R210</f>
        <v>1.8100000000000002E-3</v>
      </c>
    </row>
    <row r="212" spans="11:18" hidden="1" x14ac:dyDescent="0.2">
      <c r="K212" s="289"/>
      <c r="L212" s="455">
        <v>15</v>
      </c>
      <c r="M212" s="456" t="s">
        <v>170</v>
      </c>
      <c r="N212" s="454"/>
      <c r="O212" s="455">
        <v>1420</v>
      </c>
      <c r="P212" s="455">
        <v>1.5</v>
      </c>
      <c r="Q212" s="457">
        <f t="shared" si="6"/>
        <v>10.289070422535213</v>
      </c>
      <c r="R212" s="458">
        <v>2.8E-3</v>
      </c>
    </row>
    <row r="213" spans="11:18" hidden="1" x14ac:dyDescent="0.2">
      <c r="K213" s="289"/>
      <c r="L213" s="455">
        <v>16</v>
      </c>
      <c r="M213" s="456" t="s">
        <v>171</v>
      </c>
      <c r="N213" s="454"/>
      <c r="O213" s="455">
        <v>1420</v>
      </c>
      <c r="P213" s="455">
        <v>1.5</v>
      </c>
      <c r="Q213" s="457">
        <f t="shared" si="6"/>
        <v>10.289070422535213</v>
      </c>
      <c r="R213" s="458">
        <v>4.1000000000000003E-3</v>
      </c>
    </row>
    <row r="214" spans="11:18" hidden="1" x14ac:dyDescent="0.2">
      <c r="K214" s="289"/>
      <c r="L214" s="455">
        <v>17</v>
      </c>
      <c r="M214" s="456" t="s">
        <v>172</v>
      </c>
      <c r="N214" s="454"/>
      <c r="O214" s="455">
        <v>2850</v>
      </c>
      <c r="P214" s="455">
        <v>3</v>
      </c>
      <c r="Q214" s="455">
        <v>9.9</v>
      </c>
      <c r="R214" s="455">
        <v>3.2000000000000002E-3</v>
      </c>
    </row>
    <row r="215" spans="11:18" hidden="1" x14ac:dyDescent="0.2">
      <c r="K215" s="289"/>
      <c r="L215" s="455">
        <v>18</v>
      </c>
      <c r="M215" s="456" t="s">
        <v>173</v>
      </c>
      <c r="N215" s="454"/>
      <c r="O215" s="455">
        <v>2850</v>
      </c>
      <c r="P215" s="455">
        <v>3</v>
      </c>
      <c r="Q215" s="455">
        <v>9.9</v>
      </c>
      <c r="R215" s="459">
        <v>4.2700000000000004E-3</v>
      </c>
    </row>
    <row r="216" spans="11:18" hidden="1" x14ac:dyDescent="0.2">
      <c r="K216" s="289"/>
      <c r="L216" s="455">
        <v>19</v>
      </c>
      <c r="M216" s="460" t="s">
        <v>174</v>
      </c>
      <c r="N216" s="461"/>
      <c r="O216" s="462">
        <v>1430</v>
      </c>
      <c r="P216" s="462">
        <v>3</v>
      </c>
      <c r="Q216" s="462">
        <v>20</v>
      </c>
      <c r="R216" s="462">
        <v>6.0000000000000001E-3</v>
      </c>
    </row>
    <row r="217" spans="11:18" hidden="1" x14ac:dyDescent="0.2">
      <c r="K217" s="289"/>
      <c r="L217" s="455">
        <v>20</v>
      </c>
      <c r="M217" s="460" t="s">
        <v>175</v>
      </c>
      <c r="N217" s="461"/>
      <c r="O217" s="462">
        <v>1430</v>
      </c>
      <c r="P217" s="462">
        <v>3</v>
      </c>
      <c r="Q217" s="462">
        <v>20</v>
      </c>
      <c r="R217" s="462">
        <v>1.01E-2</v>
      </c>
    </row>
    <row r="218" spans="11:18" hidden="1" x14ac:dyDescent="0.2">
      <c r="K218" s="289"/>
      <c r="L218" s="455">
        <v>21</v>
      </c>
      <c r="M218" s="460" t="s">
        <v>176</v>
      </c>
      <c r="N218" s="461"/>
      <c r="O218" s="462">
        <v>2890</v>
      </c>
      <c r="P218" s="462">
        <v>4</v>
      </c>
      <c r="Q218" s="462">
        <v>13.2</v>
      </c>
      <c r="R218" s="462">
        <v>4.9899999999999996E-3</v>
      </c>
    </row>
    <row r="219" spans="11:18" hidden="1" x14ac:dyDescent="0.2">
      <c r="K219" s="289"/>
      <c r="L219" s="455">
        <v>22</v>
      </c>
      <c r="M219" s="460" t="s">
        <v>177</v>
      </c>
      <c r="N219" s="461"/>
      <c r="O219" s="462">
        <v>2890</v>
      </c>
      <c r="P219" s="462">
        <v>4</v>
      </c>
      <c r="Q219" s="462">
        <v>13.2</v>
      </c>
      <c r="R219" s="462">
        <v>8.3000000000000001E-3</v>
      </c>
    </row>
    <row r="220" spans="11:18" hidden="1" x14ac:dyDescent="0.2">
      <c r="K220" s="289"/>
      <c r="L220" s="455">
        <v>23</v>
      </c>
      <c r="M220" s="460" t="s">
        <v>178</v>
      </c>
      <c r="N220" s="461"/>
      <c r="O220" s="462">
        <v>1420</v>
      </c>
      <c r="P220" s="462">
        <v>4</v>
      </c>
      <c r="Q220" s="462">
        <v>26.6</v>
      </c>
      <c r="R220" s="462">
        <v>1.1140000000000001E-2</v>
      </c>
    </row>
    <row r="221" spans="11:18" hidden="1" x14ac:dyDescent="0.2">
      <c r="K221" s="289"/>
      <c r="L221" s="455">
        <v>24</v>
      </c>
      <c r="M221" s="460" t="s">
        <v>179</v>
      </c>
      <c r="N221" s="461"/>
      <c r="O221" s="462">
        <v>1420</v>
      </c>
      <c r="P221" s="462">
        <v>4</v>
      </c>
      <c r="Q221" s="462">
        <v>26.6</v>
      </c>
      <c r="R221" s="462">
        <v>0.02</v>
      </c>
    </row>
    <row r="222" spans="11:18" hidden="1" x14ac:dyDescent="0.2">
      <c r="K222" s="289"/>
      <c r="L222" s="455"/>
      <c r="M222" s="456"/>
      <c r="N222" s="454"/>
      <c r="O222" s="455"/>
      <c r="P222" s="455"/>
      <c r="Q222" s="457"/>
      <c r="R222" s="458"/>
    </row>
    <row r="223" spans="11:18" hidden="1" x14ac:dyDescent="0.2">
      <c r="K223" s="289"/>
      <c r="L223" s="455"/>
      <c r="M223" s="456"/>
      <c r="N223" s="454"/>
      <c r="O223" s="455"/>
      <c r="P223" s="455"/>
      <c r="Q223" s="457"/>
      <c r="R223" s="458"/>
    </row>
    <row r="224" spans="11:18" hidden="1" x14ac:dyDescent="0.2">
      <c r="K224" s="289"/>
      <c r="O224" s="463" t="s">
        <v>180</v>
      </c>
      <c r="P224" s="455" t="s">
        <v>126</v>
      </c>
    </row>
    <row r="225" spans="11:16" ht="15" hidden="1" x14ac:dyDescent="0.25">
      <c r="K225" s="289"/>
      <c r="L225" s="454"/>
      <c r="M225" s="452" t="str">
        <f>VLOOKUP($L$265,$L$226:M249,M$165)</f>
        <v>-</v>
      </c>
      <c r="N225" s="452">
        <f>VLOOKUP($L$265,$L$226:N249,N$165)</f>
        <v>0</v>
      </c>
      <c r="O225" s="452" t="str">
        <f>VLOOKUP($L$265,$L$226:O249,O$165)</f>
        <v>-</v>
      </c>
      <c r="P225" s="452" t="str">
        <f>VLOOKUP($L$265,$L$226:P249,P$165)</f>
        <v>-</v>
      </c>
    </row>
    <row r="226" spans="11:16" hidden="1" x14ac:dyDescent="0.2">
      <c r="K226" s="289"/>
      <c r="L226" s="455">
        <v>1</v>
      </c>
      <c r="M226" s="454" t="s">
        <v>181</v>
      </c>
      <c r="N226" s="454"/>
      <c r="O226" s="455">
        <v>1.2</v>
      </c>
      <c r="P226" s="455">
        <v>2.4000000000000001E-5</v>
      </c>
    </row>
    <row r="227" spans="11:16" hidden="1" x14ac:dyDescent="0.2">
      <c r="K227" s="289"/>
      <c r="L227" s="455">
        <v>2</v>
      </c>
      <c r="M227" s="454" t="s">
        <v>182</v>
      </c>
      <c r="N227" s="454"/>
      <c r="O227" s="455">
        <v>1.77</v>
      </c>
      <c r="P227" s="464">
        <v>3.9499999999999998E-5</v>
      </c>
    </row>
    <row r="228" spans="11:16" hidden="1" x14ac:dyDescent="0.2">
      <c r="K228" s="289"/>
      <c r="L228" s="455">
        <v>3</v>
      </c>
      <c r="M228" s="454" t="s">
        <v>183</v>
      </c>
      <c r="N228" s="454"/>
      <c r="O228" s="455">
        <v>2.4700000000000002</v>
      </c>
      <c r="P228" s="464">
        <v>5.9299999999999998E-5</v>
      </c>
    </row>
    <row r="229" spans="11:16" hidden="1" x14ac:dyDescent="0.2">
      <c r="K229" s="289"/>
      <c r="L229" s="455">
        <v>4</v>
      </c>
      <c r="M229" s="454" t="s">
        <v>184</v>
      </c>
      <c r="N229" s="454"/>
      <c r="O229" s="455">
        <v>2.72</v>
      </c>
      <c r="P229" s="464">
        <v>1.13E-4</v>
      </c>
    </row>
    <row r="230" spans="11:16" hidden="1" x14ac:dyDescent="0.2">
      <c r="K230" s="289"/>
      <c r="L230" s="455">
        <v>5</v>
      </c>
      <c r="M230" s="454" t="s">
        <v>185</v>
      </c>
      <c r="N230" s="454"/>
      <c r="O230" s="455">
        <v>5.44</v>
      </c>
      <c r="P230" s="464">
        <v>2.1900000000000001E-4</v>
      </c>
    </row>
    <row r="231" spans="11:16" hidden="1" x14ac:dyDescent="0.2">
      <c r="K231" s="289"/>
      <c r="L231" s="455">
        <v>6</v>
      </c>
      <c r="M231" s="454" t="s">
        <v>186</v>
      </c>
      <c r="N231" s="454"/>
      <c r="O231" s="455">
        <v>8.16</v>
      </c>
      <c r="P231" s="464">
        <v>3.3199999999999999E-4</v>
      </c>
    </row>
    <row r="232" spans="11:16" hidden="1" x14ac:dyDescent="0.2">
      <c r="K232" s="289"/>
      <c r="L232" s="455">
        <v>7</v>
      </c>
      <c r="M232" s="455" t="s">
        <v>187</v>
      </c>
      <c r="N232" s="454"/>
      <c r="O232" s="455" t="s">
        <v>187</v>
      </c>
      <c r="P232" s="455" t="s">
        <v>187</v>
      </c>
    </row>
    <row r="233" spans="11:16" hidden="1" x14ac:dyDescent="0.2">
      <c r="K233" s="289"/>
      <c r="L233" s="455">
        <v>8</v>
      </c>
      <c r="M233" s="455" t="s">
        <v>187</v>
      </c>
      <c r="N233" s="454"/>
      <c r="O233" s="455" t="s">
        <v>187</v>
      </c>
      <c r="P233" s="455" t="s">
        <v>187</v>
      </c>
    </row>
    <row r="234" spans="11:16" hidden="1" x14ac:dyDescent="0.2">
      <c r="K234" s="289"/>
      <c r="L234" s="455">
        <v>9</v>
      </c>
      <c r="M234" s="455" t="s">
        <v>187</v>
      </c>
      <c r="N234" s="454"/>
      <c r="O234" s="455" t="s">
        <v>187</v>
      </c>
      <c r="P234" s="455" t="s">
        <v>187</v>
      </c>
    </row>
    <row r="235" spans="11:16" hidden="1" x14ac:dyDescent="0.2">
      <c r="K235" s="289"/>
      <c r="L235" s="455">
        <v>10</v>
      </c>
      <c r="M235" s="455" t="s">
        <v>187</v>
      </c>
      <c r="N235" s="454"/>
      <c r="O235" s="455" t="s">
        <v>187</v>
      </c>
      <c r="P235" s="455" t="s">
        <v>187</v>
      </c>
    </row>
    <row r="236" spans="11:16" hidden="1" x14ac:dyDescent="0.2">
      <c r="K236" s="289"/>
      <c r="L236" s="455">
        <v>11</v>
      </c>
      <c r="M236" s="455" t="s">
        <v>187</v>
      </c>
      <c r="N236" s="454"/>
      <c r="O236" s="455" t="s">
        <v>187</v>
      </c>
      <c r="P236" s="455" t="s">
        <v>187</v>
      </c>
    </row>
    <row r="237" spans="11:16" hidden="1" x14ac:dyDescent="0.2">
      <c r="K237" s="289"/>
      <c r="L237" s="455">
        <v>12</v>
      </c>
      <c r="M237" s="455" t="s">
        <v>187</v>
      </c>
      <c r="N237" s="454"/>
      <c r="O237" s="455" t="s">
        <v>187</v>
      </c>
      <c r="P237" s="455" t="s">
        <v>187</v>
      </c>
    </row>
    <row r="238" spans="11:16" hidden="1" x14ac:dyDescent="0.2">
      <c r="K238" s="289"/>
      <c r="L238" s="455">
        <v>13</v>
      </c>
      <c r="M238" s="455" t="s">
        <v>187</v>
      </c>
      <c r="N238" s="454"/>
      <c r="O238" s="455" t="s">
        <v>187</v>
      </c>
      <c r="P238" s="455" t="s">
        <v>187</v>
      </c>
    </row>
    <row r="239" spans="11:16" hidden="1" x14ac:dyDescent="0.2">
      <c r="K239" s="289"/>
      <c r="L239" s="455">
        <v>14</v>
      </c>
      <c r="M239" s="455" t="s">
        <v>187</v>
      </c>
      <c r="N239" s="454"/>
      <c r="O239" s="455" t="s">
        <v>187</v>
      </c>
      <c r="P239" s="455" t="s">
        <v>187</v>
      </c>
    </row>
    <row r="240" spans="11:16" hidden="1" x14ac:dyDescent="0.2">
      <c r="K240" s="289"/>
      <c r="L240" s="455">
        <v>15</v>
      </c>
      <c r="M240" s="455" t="s">
        <v>187</v>
      </c>
      <c r="N240" s="454"/>
      <c r="O240" s="455" t="s">
        <v>187</v>
      </c>
      <c r="P240" s="455" t="s">
        <v>187</v>
      </c>
    </row>
    <row r="241" spans="11:16" hidden="1" x14ac:dyDescent="0.2">
      <c r="K241" s="289"/>
      <c r="L241" s="455">
        <v>16</v>
      </c>
      <c r="M241" s="455" t="s">
        <v>187</v>
      </c>
      <c r="N241" s="454"/>
      <c r="O241" s="455" t="s">
        <v>187</v>
      </c>
      <c r="P241" s="455" t="s">
        <v>187</v>
      </c>
    </row>
    <row r="242" spans="11:16" hidden="1" x14ac:dyDescent="0.2">
      <c r="K242" s="289"/>
      <c r="L242" s="455">
        <v>17</v>
      </c>
      <c r="M242" s="455" t="s">
        <v>187</v>
      </c>
      <c r="N242" s="454"/>
      <c r="O242" s="455" t="s">
        <v>187</v>
      </c>
      <c r="P242" s="455" t="s">
        <v>187</v>
      </c>
    </row>
    <row r="243" spans="11:16" hidden="1" x14ac:dyDescent="0.2">
      <c r="K243" s="289"/>
      <c r="L243" s="455">
        <v>18</v>
      </c>
      <c r="M243" s="455" t="s">
        <v>187</v>
      </c>
      <c r="N243" s="454"/>
      <c r="O243" s="455" t="s">
        <v>187</v>
      </c>
      <c r="P243" s="455" t="s">
        <v>187</v>
      </c>
    </row>
    <row r="244" spans="11:16" hidden="1" x14ac:dyDescent="0.2">
      <c r="K244" s="289"/>
      <c r="L244" s="455">
        <v>19</v>
      </c>
      <c r="M244" s="455" t="s">
        <v>187</v>
      </c>
      <c r="N244" s="454"/>
      <c r="O244" s="455" t="s">
        <v>187</v>
      </c>
      <c r="P244" s="455" t="s">
        <v>187</v>
      </c>
    </row>
    <row r="245" spans="11:16" hidden="1" x14ac:dyDescent="0.2">
      <c r="K245" s="289"/>
      <c r="L245" s="455">
        <v>20</v>
      </c>
      <c r="M245" s="455" t="s">
        <v>187</v>
      </c>
      <c r="N245" s="454"/>
      <c r="O245" s="455" t="s">
        <v>187</v>
      </c>
      <c r="P245" s="455" t="s">
        <v>187</v>
      </c>
    </row>
    <row r="246" spans="11:16" hidden="1" x14ac:dyDescent="0.2">
      <c r="K246" s="289"/>
      <c r="L246" s="455">
        <v>21</v>
      </c>
      <c r="M246" s="455" t="s">
        <v>187</v>
      </c>
      <c r="N246" s="454"/>
      <c r="O246" s="455" t="s">
        <v>187</v>
      </c>
      <c r="P246" s="455" t="s">
        <v>187</v>
      </c>
    </row>
    <row r="247" spans="11:16" hidden="1" x14ac:dyDescent="0.2">
      <c r="K247" s="289"/>
      <c r="L247" s="455">
        <v>22</v>
      </c>
      <c r="M247" s="455" t="s">
        <v>187</v>
      </c>
      <c r="N247" s="454"/>
      <c r="O247" s="455" t="s">
        <v>187</v>
      </c>
      <c r="P247" s="455" t="s">
        <v>187</v>
      </c>
    </row>
    <row r="248" spans="11:16" hidden="1" x14ac:dyDescent="0.2">
      <c r="K248" s="289"/>
      <c r="L248" s="455">
        <v>23</v>
      </c>
      <c r="M248" s="455" t="s">
        <v>187</v>
      </c>
      <c r="N248" s="454"/>
      <c r="O248" s="455" t="s">
        <v>187</v>
      </c>
      <c r="P248" s="455" t="s">
        <v>187</v>
      </c>
    </row>
    <row r="249" spans="11:16" hidden="1" x14ac:dyDescent="0.2">
      <c r="K249" s="289"/>
      <c r="L249" s="455">
        <v>24</v>
      </c>
      <c r="M249" s="455" t="s">
        <v>187</v>
      </c>
      <c r="N249" s="454"/>
      <c r="O249" s="455" t="s">
        <v>187</v>
      </c>
      <c r="P249" s="455" t="s">
        <v>187</v>
      </c>
    </row>
    <row r="250" spans="11:16" hidden="1" x14ac:dyDescent="0.2">
      <c r="K250" s="289"/>
    </row>
    <row r="251" spans="11:16" hidden="1" x14ac:dyDescent="0.2">
      <c r="K251" s="289"/>
    </row>
    <row r="252" spans="11:16" hidden="1" x14ac:dyDescent="0.2">
      <c r="K252" s="289"/>
    </row>
    <row r="253" spans="11:16" hidden="1" x14ac:dyDescent="0.2">
      <c r="K253" s="289"/>
      <c r="L253" s="306">
        <v>1</v>
      </c>
    </row>
    <row r="254" spans="11:16" hidden="1" x14ac:dyDescent="0.2">
      <c r="K254" s="289"/>
      <c r="L254" s="17">
        <v>1</v>
      </c>
      <c r="M254" s="17" t="s">
        <v>190</v>
      </c>
    </row>
    <row r="255" spans="11:16" hidden="1" x14ac:dyDescent="0.2">
      <c r="K255" s="289"/>
      <c r="L255" s="17">
        <v>2</v>
      </c>
      <c r="M255" s="17" t="s">
        <v>191</v>
      </c>
    </row>
    <row r="256" spans="11:16" hidden="1" x14ac:dyDescent="0.2">
      <c r="K256" s="289"/>
    </row>
    <row r="257" spans="11:16" hidden="1" x14ac:dyDescent="0.2">
      <c r="K257" s="289"/>
      <c r="L257" s="306">
        <v>2</v>
      </c>
      <c r="O257" s="306">
        <v>2</v>
      </c>
    </row>
    <row r="258" spans="11:16" hidden="1" x14ac:dyDescent="0.2">
      <c r="K258" s="289"/>
      <c r="L258" s="17">
        <v>1</v>
      </c>
      <c r="M258" s="17" t="s">
        <v>195</v>
      </c>
      <c r="O258" s="17">
        <v>1</v>
      </c>
      <c r="P258" s="17" t="str">
        <f>IF($L$257=3,"Without brake"," ")</f>
        <v xml:space="preserve"> </v>
      </c>
    </row>
    <row r="259" spans="11:16" hidden="1" x14ac:dyDescent="0.2">
      <c r="K259" s="289"/>
      <c r="L259" s="17">
        <v>2</v>
      </c>
      <c r="M259" s="17" t="s">
        <v>196</v>
      </c>
      <c r="O259" s="17">
        <v>2</v>
      </c>
      <c r="P259" s="17" t="str">
        <f>IF($L$257=3,"With brake"," ")</f>
        <v xml:space="preserve"> </v>
      </c>
    </row>
    <row r="260" spans="11:16" hidden="1" x14ac:dyDescent="0.2">
      <c r="K260" s="289"/>
      <c r="L260" s="17">
        <v>3</v>
      </c>
      <c r="M260" s="17" t="s">
        <v>189</v>
      </c>
    </row>
    <row r="261" spans="11:16" hidden="1" x14ac:dyDescent="0.2">
      <c r="K261" s="289"/>
      <c r="L261" s="17">
        <v>4</v>
      </c>
      <c r="M261" s="17" t="s">
        <v>197</v>
      </c>
    </row>
    <row r="262" spans="11:16" hidden="1" x14ac:dyDescent="0.2">
      <c r="K262" s="289"/>
      <c r="L262" s="17">
        <v>5</v>
      </c>
      <c r="M262" s="17" t="s">
        <v>201</v>
      </c>
    </row>
    <row r="263" spans="11:16" hidden="1" x14ac:dyDescent="0.2">
      <c r="K263" s="289"/>
    </row>
    <row r="264" spans="11:16" hidden="1" x14ac:dyDescent="0.2">
      <c r="K264" s="289"/>
    </row>
    <row r="265" spans="11:16" hidden="1" x14ac:dyDescent="0.2">
      <c r="K265" s="289"/>
      <c r="L265" s="299">
        <v>9</v>
      </c>
    </row>
    <row r="266" spans="11:16" hidden="1" x14ac:dyDescent="0.2">
      <c r="K266" s="289"/>
      <c r="L266" s="293">
        <v>1</v>
      </c>
      <c r="M266" s="17" t="str">
        <f t="shared" ref="M266:M289" si="7">IF($L$257=1,"-",IF($L$257=2,M198,IF($L$257=3,M169,IF($L$257=4,M226," - "))))</f>
        <v>IEC 63  3000 rpm  0,25 kW</v>
      </c>
    </row>
    <row r="267" spans="11:16" hidden="1" x14ac:dyDescent="0.2">
      <c r="K267" s="289"/>
      <c r="L267" s="293">
        <v>2</v>
      </c>
      <c r="M267" s="17" t="str">
        <f t="shared" si="7"/>
        <v>IEC 63  with brake 3000 rpm  0,25 kW</v>
      </c>
    </row>
    <row r="268" spans="11:16" hidden="1" x14ac:dyDescent="0.2">
      <c r="K268" s="289"/>
      <c r="L268" s="293">
        <v>3</v>
      </c>
      <c r="M268" s="17" t="str">
        <f t="shared" si="7"/>
        <v>IEC 63  1500 rpm  0,18 kW</v>
      </c>
    </row>
    <row r="269" spans="11:16" hidden="1" x14ac:dyDescent="0.2">
      <c r="K269" s="289"/>
      <c r="L269" s="293">
        <v>4</v>
      </c>
      <c r="M269" s="17" t="str">
        <f t="shared" si="7"/>
        <v>IEC 63  with brake 1500 rpm  0,18 kW</v>
      </c>
    </row>
    <row r="270" spans="11:16" hidden="1" x14ac:dyDescent="0.2">
      <c r="K270" s="289"/>
      <c r="L270" s="293">
        <v>5</v>
      </c>
      <c r="M270" s="17" t="str">
        <f t="shared" si="7"/>
        <v>IEC71 3000 rpm 0,55 kW</v>
      </c>
    </row>
    <row r="271" spans="11:16" hidden="1" x14ac:dyDescent="0.2">
      <c r="K271" s="289"/>
      <c r="L271" s="293">
        <v>6</v>
      </c>
      <c r="M271" s="17" t="str">
        <f t="shared" si="7"/>
        <v>IEC71 with brake 3000 rpm 0,55 kW</v>
      </c>
    </row>
    <row r="272" spans="11:16" hidden="1" x14ac:dyDescent="0.2">
      <c r="K272" s="289"/>
      <c r="L272" s="293">
        <v>7</v>
      </c>
      <c r="M272" s="17" t="str">
        <f t="shared" si="7"/>
        <v>IEC71 1500 rpm 0,37 kW</v>
      </c>
    </row>
    <row r="273" spans="11:13" hidden="1" x14ac:dyDescent="0.2">
      <c r="K273" s="289"/>
      <c r="L273" s="293">
        <v>8</v>
      </c>
      <c r="M273" s="17" t="str">
        <f t="shared" si="7"/>
        <v>IEC71 with brake 1500 rpm 0,37 kW</v>
      </c>
    </row>
    <row r="274" spans="11:13" hidden="1" x14ac:dyDescent="0.2">
      <c r="K274" s="289"/>
      <c r="L274" s="293">
        <v>9</v>
      </c>
      <c r="M274" s="17" t="str">
        <f t="shared" si="7"/>
        <v>IEC80 3000 rpm 1,1 kW</v>
      </c>
    </row>
    <row r="275" spans="11:13" hidden="1" x14ac:dyDescent="0.2">
      <c r="K275" s="289"/>
      <c r="L275" s="293">
        <v>10</v>
      </c>
      <c r="M275" s="17" t="str">
        <f t="shared" si="7"/>
        <v>IEC80 with brake 3000 rpm 1,1 kW</v>
      </c>
    </row>
    <row r="276" spans="11:13" hidden="1" x14ac:dyDescent="0.2">
      <c r="K276" s="289"/>
      <c r="L276" s="293">
        <v>11</v>
      </c>
      <c r="M276" s="17" t="str">
        <f t="shared" si="7"/>
        <v>IEC80 1500 rpm 0,75 kW</v>
      </c>
    </row>
    <row r="277" spans="11:13" hidden="1" x14ac:dyDescent="0.2">
      <c r="K277" s="289"/>
      <c r="L277" s="293">
        <v>12</v>
      </c>
      <c r="M277" s="17" t="str">
        <f t="shared" si="7"/>
        <v>IEC80 with brake 1500 rpm 0,75 kW</v>
      </c>
    </row>
    <row r="278" spans="11:13" hidden="1" x14ac:dyDescent="0.2">
      <c r="K278" s="289"/>
      <c r="L278" s="293">
        <v>13</v>
      </c>
      <c r="M278" s="17" t="str">
        <f t="shared" si="7"/>
        <v>IEC90 3000 rpm 2,2 kW</v>
      </c>
    </row>
    <row r="279" spans="11:13" hidden="1" x14ac:dyDescent="0.2">
      <c r="K279" s="289"/>
      <c r="L279" s="293">
        <v>14</v>
      </c>
      <c r="M279" s="17" t="str">
        <f t="shared" si="7"/>
        <v>IEC90 with brake 3000 rpm 2,2 kW</v>
      </c>
    </row>
    <row r="280" spans="11:13" hidden="1" x14ac:dyDescent="0.2">
      <c r="K280" s="289"/>
      <c r="L280" s="293">
        <v>15</v>
      </c>
      <c r="M280" s="17" t="str">
        <f t="shared" si="7"/>
        <v>IEC90 1500 rpm 1,5 kW</v>
      </c>
    </row>
    <row r="281" spans="11:13" hidden="1" x14ac:dyDescent="0.2">
      <c r="K281" s="289"/>
      <c r="L281" s="293">
        <v>16</v>
      </c>
      <c r="M281" s="17" t="str">
        <f t="shared" si="7"/>
        <v>IEC90 with brake 1500 rpm 1,5 kW</v>
      </c>
    </row>
    <row r="282" spans="11:13" hidden="1" x14ac:dyDescent="0.2">
      <c r="K282" s="289"/>
      <c r="L282" s="293">
        <v>17</v>
      </c>
      <c r="M282" s="17" t="str">
        <f t="shared" si="7"/>
        <v>IEC100 3000 rpm 3 kW</v>
      </c>
    </row>
    <row r="283" spans="11:13" hidden="1" x14ac:dyDescent="0.2">
      <c r="K283" s="289"/>
      <c r="L283" s="293">
        <v>18</v>
      </c>
      <c r="M283" s="17" t="str">
        <f t="shared" si="7"/>
        <v>IEC100 with brake 3000 rpm 3 kW</v>
      </c>
    </row>
    <row r="284" spans="11:13" hidden="1" x14ac:dyDescent="0.2">
      <c r="K284" s="289"/>
      <c r="L284" s="293">
        <v>19</v>
      </c>
      <c r="M284" s="17" t="str">
        <f t="shared" si="7"/>
        <v>IEC100 1500 rpm 3 kW</v>
      </c>
    </row>
    <row r="285" spans="11:13" hidden="1" x14ac:dyDescent="0.2">
      <c r="K285" s="289"/>
      <c r="L285" s="293">
        <v>20</v>
      </c>
      <c r="M285" s="17" t="str">
        <f t="shared" si="7"/>
        <v>IEC100 with brake 1500 rpm 3 kW</v>
      </c>
    </row>
    <row r="286" spans="11:13" hidden="1" x14ac:dyDescent="0.2">
      <c r="K286" s="289"/>
      <c r="L286" s="293">
        <v>21</v>
      </c>
      <c r="M286" s="17" t="str">
        <f t="shared" si="7"/>
        <v>IEC112 3000 rpm 4 kW</v>
      </c>
    </row>
    <row r="287" spans="11:13" hidden="1" x14ac:dyDescent="0.2">
      <c r="K287" s="289"/>
      <c r="L287" s="293">
        <v>22</v>
      </c>
      <c r="M287" s="17" t="str">
        <f t="shared" si="7"/>
        <v>IEC112 with brake 3000 rpm 4 kW</v>
      </c>
    </row>
    <row r="288" spans="11:13" hidden="1" x14ac:dyDescent="0.2">
      <c r="K288" s="289"/>
      <c r="L288" s="293">
        <v>23</v>
      </c>
      <c r="M288" s="17" t="str">
        <f t="shared" si="7"/>
        <v>IEC112 1500 rpm 4 kW</v>
      </c>
    </row>
    <row r="289" spans="11:13" hidden="1" x14ac:dyDescent="0.2">
      <c r="K289" s="289"/>
      <c r="L289" s="293">
        <v>24</v>
      </c>
      <c r="M289" s="17" t="str">
        <f t="shared" si="7"/>
        <v>IEC112 with brake 1500 rpm 4 kW</v>
      </c>
    </row>
    <row r="290" spans="11:13" hidden="1" x14ac:dyDescent="0.2">
      <c r="K290" s="289"/>
    </row>
    <row r="291" spans="11:13" hidden="1" x14ac:dyDescent="0.2">
      <c r="K291" s="289"/>
    </row>
    <row r="292" spans="11:13" hidden="1" x14ac:dyDescent="0.2">
      <c r="K292" s="289"/>
    </row>
    <row r="293" spans="11:13" hidden="1" x14ac:dyDescent="0.2">
      <c r="K293" s="289"/>
    </row>
    <row r="294" spans="11:13" hidden="1" x14ac:dyDescent="0.2">
      <c r="K294" s="289"/>
    </row>
    <row r="295" spans="11:13" hidden="1" x14ac:dyDescent="0.2">
      <c r="K295" s="289"/>
    </row>
    <row r="296" spans="11:13" hidden="1" x14ac:dyDescent="0.2">
      <c r="K296" s="289"/>
    </row>
    <row r="297" spans="11:13" hidden="1" x14ac:dyDescent="0.2">
      <c r="K297" s="289"/>
    </row>
  </sheetData>
  <sheetProtection password="CC6C" sheet="1" objects="1" scenarios="1"/>
  <sortState ref="BI31:BL48">
    <sortCondition ref="BI31"/>
  </sortState>
  <mergeCells count="18">
    <mergeCell ref="U102:V102"/>
    <mergeCell ref="W102:X102"/>
    <mergeCell ref="X77:Y77"/>
    <mergeCell ref="Z77:AA77"/>
    <mergeCell ref="AB77:AC77"/>
    <mergeCell ref="AM75:AM77"/>
    <mergeCell ref="AN75:AN77"/>
    <mergeCell ref="B3:D3"/>
    <mergeCell ref="B4:D4"/>
    <mergeCell ref="B5:D5"/>
    <mergeCell ref="F5:G5"/>
    <mergeCell ref="AE24:AF24"/>
    <mergeCell ref="AE38:AF38"/>
    <mergeCell ref="AD77:AE77"/>
    <mergeCell ref="AF77:AG77"/>
    <mergeCell ref="AH77:AI77"/>
    <mergeCell ref="AE52:AF52"/>
    <mergeCell ref="AE65:AF65"/>
  </mergeCells>
  <conditionalFormatting sqref="H18">
    <cfRule type="expression" dxfId="9" priority="4" stopIfTrue="1">
      <formula>$Q$13&lt;3</formula>
    </cfRule>
  </conditionalFormatting>
  <conditionalFormatting sqref="G24">
    <cfRule type="expression" dxfId="8" priority="6" stopIfTrue="1">
      <formula>$M$33=0</formula>
    </cfRule>
  </conditionalFormatting>
  <conditionalFormatting sqref="D22">
    <cfRule type="expression" dxfId="7" priority="3">
      <formula>$Q$18=1</formula>
    </cfRule>
  </conditionalFormatting>
  <conditionalFormatting sqref="D110:D113">
    <cfRule type="expression" dxfId="6" priority="7">
      <formula>$L$253=2</formula>
    </cfRule>
    <cfRule type="expression" dxfId="5" priority="8">
      <formula>$L$253=1</formula>
    </cfRule>
  </conditionalFormatting>
  <conditionalFormatting sqref="D122:I125 D126">
    <cfRule type="expression" dxfId="4" priority="9">
      <formula>$L$257=5</formula>
    </cfRule>
  </conditionalFormatting>
  <conditionalFormatting sqref="A127:G134">
    <cfRule type="expression" dxfId="3" priority="10">
      <formula>$L$257=1</formula>
    </cfRule>
  </conditionalFormatting>
  <conditionalFormatting sqref="F132">
    <cfRule type="expression" dxfId="2" priority="11">
      <formula>$L$257=2</formula>
    </cfRule>
  </conditionalFormatting>
  <conditionalFormatting sqref="E50">
    <cfRule type="expression" dxfId="1" priority="2">
      <formula>$T$18=2</formula>
    </cfRule>
  </conditionalFormatting>
  <conditionalFormatting sqref="G100">
    <cfRule type="expression" dxfId="0" priority="1">
      <formula>$F$100&gt;3001</formula>
    </cfRule>
  </conditionalFormatting>
  <pageMargins left="0.25" right="0.25" top="0.75" bottom="0.75" header="0.3" footer="0.3"/>
  <pageSetup paperSize="9" orientation="portrait" verticalDpi="0" r:id="rId1"/>
  <headerFooter>
    <oddHeader>&amp;C&amp;F</oddHeader>
    <oddFooter>&amp;Cpage &amp;P / &amp;N  printed &amp;D &amp;T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2</xdr:col>
                    <xdr:colOff>9525</xdr:colOff>
                    <xdr:row>7</xdr:row>
                    <xdr:rowOff>9525</xdr:rowOff>
                  </from>
                  <to>
                    <xdr:col>3</xdr:col>
                    <xdr:colOff>161925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Drop Down 3">
              <controlPr defaultSize="0" autoLine="0" autoPict="0">
                <anchor moveWithCells="1">
                  <from>
                    <xdr:col>3</xdr:col>
                    <xdr:colOff>9525</xdr:colOff>
                    <xdr:row>20</xdr:row>
                    <xdr:rowOff>0</xdr:rowOff>
                  </from>
                  <to>
                    <xdr:col>4</xdr:col>
                    <xdr:colOff>542925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Drop Down 4">
              <controlPr defaultSize="0" autoLine="0" autoPict="0">
                <anchor mov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3</xdr:col>
                    <xdr:colOff>66675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7" name="Drop Down 7">
              <controlPr defaultSize="0" autoLine="0" autoPict="0">
                <anchor moveWithCells="1">
                  <from>
                    <xdr:col>0</xdr:col>
                    <xdr:colOff>619125</xdr:colOff>
                    <xdr:row>107</xdr:row>
                    <xdr:rowOff>171450</xdr:rowOff>
                  </from>
                  <to>
                    <xdr:col>2</xdr:col>
                    <xdr:colOff>581025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8" name="Drop Down 8">
              <controlPr defaultSize="0" autoLine="0" autoPict="0">
                <anchor moveWithCells="1">
                  <from>
                    <xdr:col>1</xdr:col>
                    <xdr:colOff>0</xdr:colOff>
                    <xdr:row>114</xdr:row>
                    <xdr:rowOff>171450</xdr:rowOff>
                  </from>
                  <to>
                    <xdr:col>2</xdr:col>
                    <xdr:colOff>571500</xdr:colOff>
                    <xdr:row>115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9" name="Drop Down 9">
              <controlPr defaultSize="0" autoLine="0" autoPict="0">
                <anchor moveWithCells="1">
                  <from>
                    <xdr:col>6</xdr:col>
                    <xdr:colOff>466725</xdr:colOff>
                    <xdr:row>114</xdr:row>
                    <xdr:rowOff>161925</xdr:rowOff>
                  </from>
                  <to>
                    <xdr:col>8</xdr:col>
                    <xdr:colOff>304800</xdr:colOff>
                    <xdr:row>115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0" name="Drop Down 10">
              <controlPr defaultSize="0" autoLine="0" autoPict="0">
                <anchor moveWithCells="1">
                  <from>
                    <xdr:col>3</xdr:col>
                    <xdr:colOff>0</xdr:colOff>
                    <xdr:row>114</xdr:row>
                    <xdr:rowOff>180975</xdr:rowOff>
                  </from>
                  <to>
                    <xdr:col>6</xdr:col>
                    <xdr:colOff>428625</xdr:colOff>
                    <xdr:row>115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1" name="Drop Down 11">
              <controlPr defaultSize="0" autoLine="0" autoPict="0">
                <anchor moveWithCells="1">
                  <from>
                    <xdr:col>3</xdr:col>
                    <xdr:colOff>495300</xdr:colOff>
                    <xdr:row>82</xdr:row>
                    <xdr:rowOff>161925</xdr:rowOff>
                  </from>
                  <to>
                    <xdr:col>9</xdr:col>
                    <xdr:colOff>504825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2" name="Drop Down 12">
              <controlPr defaultSize="0" autoLine="0" autoPict="0">
                <anchor moveWithCells="1">
                  <from>
                    <xdr:col>2</xdr:col>
                    <xdr:colOff>19050</xdr:colOff>
                    <xdr:row>10</xdr:row>
                    <xdr:rowOff>180975</xdr:rowOff>
                  </from>
                  <to>
                    <xdr:col>3</xdr:col>
                    <xdr:colOff>57150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3" name="Drop Down 13">
              <controlPr defaultSize="0" autoLine="0" autoPict="0">
                <anchor moveWithCells="1">
                  <from>
                    <xdr:col>6</xdr:col>
                    <xdr:colOff>190500</xdr:colOff>
                    <xdr:row>32</xdr:row>
                    <xdr:rowOff>171450</xdr:rowOff>
                  </from>
                  <to>
                    <xdr:col>7</xdr:col>
                    <xdr:colOff>304800</xdr:colOff>
                    <xdr:row>34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opLeftCell="A52" zoomScaleNormal="100" workbookViewId="0">
      <selection activeCell="C81" sqref="C81"/>
    </sheetView>
  </sheetViews>
  <sheetFormatPr defaultRowHeight="15" x14ac:dyDescent="0.25"/>
  <cols>
    <col min="1" max="1" width="16.140625" customWidth="1"/>
  </cols>
  <sheetData>
    <row r="1" spans="1:2" ht="18" x14ac:dyDescent="0.25">
      <c r="A1" s="188" t="s">
        <v>227</v>
      </c>
    </row>
    <row r="3" spans="1:2" x14ac:dyDescent="0.25">
      <c r="A3" s="189" t="s">
        <v>15</v>
      </c>
      <c r="B3" t="s">
        <v>228</v>
      </c>
    </row>
    <row r="4" spans="1:2" x14ac:dyDescent="0.25">
      <c r="B4" t="s">
        <v>229</v>
      </c>
    </row>
    <row r="5" spans="1:2" x14ac:dyDescent="0.25">
      <c r="B5" t="s">
        <v>230</v>
      </c>
    </row>
    <row r="7" spans="1:2" x14ac:dyDescent="0.25">
      <c r="A7" s="189" t="s">
        <v>32</v>
      </c>
      <c r="B7" t="s">
        <v>231</v>
      </c>
    </row>
    <row r="9" spans="1:2" x14ac:dyDescent="0.25">
      <c r="A9" s="190" t="s">
        <v>33</v>
      </c>
      <c r="B9" t="s">
        <v>232</v>
      </c>
    </row>
    <row r="10" spans="1:2" x14ac:dyDescent="0.25">
      <c r="B10" t="s">
        <v>233</v>
      </c>
    </row>
    <row r="12" spans="1:2" x14ac:dyDescent="0.25">
      <c r="A12" s="189" t="s">
        <v>234</v>
      </c>
      <c r="B12" t="s">
        <v>235</v>
      </c>
    </row>
    <row r="13" spans="1:2" x14ac:dyDescent="0.25">
      <c r="A13" s="15"/>
      <c r="B13" t="s">
        <v>236</v>
      </c>
    </row>
    <row r="14" spans="1:2" x14ac:dyDescent="0.25">
      <c r="A14" s="189"/>
      <c r="B14" t="s">
        <v>237</v>
      </c>
    </row>
    <row r="15" spans="1:2" x14ac:dyDescent="0.25">
      <c r="B15" t="s">
        <v>238</v>
      </c>
    </row>
    <row r="16" spans="1:2" x14ac:dyDescent="0.25">
      <c r="B16" t="s">
        <v>239</v>
      </c>
    </row>
    <row r="18" spans="1:7" x14ac:dyDescent="0.25">
      <c r="A18" s="191"/>
    </row>
    <row r="19" spans="1:7" x14ac:dyDescent="0.25">
      <c r="A19" s="191"/>
    </row>
    <row r="20" spans="1:7" x14ac:dyDescent="0.25">
      <c r="F20" t="s">
        <v>240</v>
      </c>
    </row>
    <row r="22" spans="1:7" x14ac:dyDescent="0.25">
      <c r="G22" s="191" t="s">
        <v>240</v>
      </c>
    </row>
    <row r="26" spans="1:7" x14ac:dyDescent="0.25">
      <c r="B26" t="s">
        <v>241</v>
      </c>
    </row>
    <row r="27" spans="1:7" x14ac:dyDescent="0.25">
      <c r="B27" t="s">
        <v>242</v>
      </c>
    </row>
    <row r="28" spans="1:7" x14ac:dyDescent="0.25">
      <c r="B28" t="s">
        <v>243</v>
      </c>
    </row>
    <row r="29" spans="1:7" x14ac:dyDescent="0.25">
      <c r="B29" t="s">
        <v>244</v>
      </c>
    </row>
    <row r="30" spans="1:7" x14ac:dyDescent="0.25">
      <c r="B30" t="s">
        <v>245</v>
      </c>
    </row>
    <row r="32" spans="1:7" x14ac:dyDescent="0.25">
      <c r="B32" t="s">
        <v>246</v>
      </c>
    </row>
    <row r="33" spans="1:3" x14ac:dyDescent="0.25">
      <c r="C33" t="s">
        <v>247</v>
      </c>
    </row>
    <row r="34" spans="1:3" x14ac:dyDescent="0.25">
      <c r="C34" t="s">
        <v>248</v>
      </c>
    </row>
    <row r="36" spans="1:3" x14ac:dyDescent="0.25">
      <c r="C36" t="s">
        <v>249</v>
      </c>
    </row>
    <row r="38" spans="1:3" x14ac:dyDescent="0.25">
      <c r="C38" t="s">
        <v>250</v>
      </c>
    </row>
    <row r="42" spans="1:3" x14ac:dyDescent="0.25">
      <c r="A42" s="192" t="s">
        <v>251</v>
      </c>
      <c r="B42" t="s">
        <v>252</v>
      </c>
    </row>
    <row r="43" spans="1:3" x14ac:dyDescent="0.25">
      <c r="B43" t="s">
        <v>253</v>
      </c>
    </row>
    <row r="44" spans="1:3" x14ac:dyDescent="0.25">
      <c r="B44" t="s">
        <v>254</v>
      </c>
    </row>
    <row r="46" spans="1:3" x14ac:dyDescent="0.25">
      <c r="C46" t="s">
        <v>222</v>
      </c>
    </row>
    <row r="47" spans="1:3" x14ac:dyDescent="0.25">
      <c r="C47" t="s">
        <v>223</v>
      </c>
    </row>
    <row r="48" spans="1:3" x14ac:dyDescent="0.25">
      <c r="C48" t="s">
        <v>375</v>
      </c>
    </row>
    <row r="49" spans="1:4" x14ac:dyDescent="0.25">
      <c r="C49" t="s">
        <v>376</v>
      </c>
    </row>
    <row r="50" spans="1:4" x14ac:dyDescent="0.25">
      <c r="C50" t="s">
        <v>377</v>
      </c>
    </row>
    <row r="51" spans="1:4" x14ac:dyDescent="0.25">
      <c r="C51" t="s">
        <v>378</v>
      </c>
    </row>
    <row r="53" spans="1:4" x14ac:dyDescent="0.25">
      <c r="B53" t="s">
        <v>255</v>
      </c>
    </row>
    <row r="56" spans="1:4" x14ac:dyDescent="0.25">
      <c r="A56" s="269" t="s">
        <v>372</v>
      </c>
      <c r="D56" s="193"/>
    </row>
    <row r="57" spans="1:4" x14ac:dyDescent="0.25">
      <c r="A57" s="270" t="s">
        <v>379</v>
      </c>
    </row>
    <row r="58" spans="1:4" x14ac:dyDescent="0.25">
      <c r="A58" s="270" t="s">
        <v>380</v>
      </c>
    </row>
    <row r="59" spans="1:4" x14ac:dyDescent="0.25">
      <c r="A59" t="s">
        <v>381</v>
      </c>
    </row>
    <row r="61" spans="1:4" x14ac:dyDescent="0.25">
      <c r="A61" t="s">
        <v>382</v>
      </c>
    </row>
    <row r="64" spans="1:4" x14ac:dyDescent="0.25">
      <c r="A64" t="s">
        <v>383</v>
      </c>
    </row>
    <row r="66" spans="1:12" x14ac:dyDescent="0.25">
      <c r="F66" t="s">
        <v>384</v>
      </c>
    </row>
    <row r="68" spans="1:12" x14ac:dyDescent="0.25">
      <c r="A68" t="s">
        <v>385</v>
      </c>
      <c r="L68" t="s">
        <v>386</v>
      </c>
    </row>
    <row r="74" spans="1:12" x14ac:dyDescent="0.25">
      <c r="J74" t="s">
        <v>387</v>
      </c>
    </row>
  </sheetData>
  <sheetProtection password="CC6C" sheet="1" objects="1" scenarios="1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31" workbookViewId="0">
      <selection activeCell="C51" sqref="C51"/>
    </sheetView>
  </sheetViews>
  <sheetFormatPr defaultRowHeight="15" x14ac:dyDescent="0.25"/>
  <cols>
    <col min="1" max="1" width="16.140625" customWidth="1"/>
  </cols>
  <sheetData>
    <row r="1" spans="1:2" ht="18" x14ac:dyDescent="0.25">
      <c r="A1" s="188" t="s">
        <v>227</v>
      </c>
    </row>
    <row r="3" spans="1:2" x14ac:dyDescent="0.25">
      <c r="A3" s="189" t="s">
        <v>15</v>
      </c>
      <c r="B3" t="s">
        <v>228</v>
      </c>
    </row>
    <row r="4" spans="1:2" x14ac:dyDescent="0.25">
      <c r="B4" t="s">
        <v>229</v>
      </c>
    </row>
    <row r="5" spans="1:2" x14ac:dyDescent="0.25">
      <c r="B5" t="s">
        <v>230</v>
      </c>
    </row>
    <row r="7" spans="1:2" x14ac:dyDescent="0.25">
      <c r="A7" s="189" t="s">
        <v>32</v>
      </c>
      <c r="B7" t="s">
        <v>231</v>
      </c>
    </row>
    <row r="9" spans="1:2" x14ac:dyDescent="0.25">
      <c r="A9" s="190" t="s">
        <v>33</v>
      </c>
      <c r="B9" t="s">
        <v>232</v>
      </c>
    </row>
    <row r="10" spans="1:2" x14ac:dyDescent="0.25">
      <c r="B10" t="s">
        <v>233</v>
      </c>
    </row>
    <row r="12" spans="1:2" x14ac:dyDescent="0.25">
      <c r="A12" s="189" t="s">
        <v>234</v>
      </c>
      <c r="B12" t="s">
        <v>235</v>
      </c>
    </row>
    <row r="13" spans="1:2" x14ac:dyDescent="0.25">
      <c r="A13" s="15"/>
      <c r="B13" t="s">
        <v>236</v>
      </c>
    </row>
    <row r="14" spans="1:2" x14ac:dyDescent="0.25">
      <c r="A14" s="189"/>
      <c r="B14" t="s">
        <v>237</v>
      </c>
    </row>
    <row r="15" spans="1:2" x14ac:dyDescent="0.25">
      <c r="B15" t="s">
        <v>238</v>
      </c>
    </row>
    <row r="16" spans="1:2" x14ac:dyDescent="0.25">
      <c r="B16" t="s">
        <v>239</v>
      </c>
    </row>
    <row r="18" spans="1:7" x14ac:dyDescent="0.25">
      <c r="A18" s="191"/>
    </row>
    <row r="19" spans="1:7" x14ac:dyDescent="0.25">
      <c r="A19" s="191"/>
    </row>
    <row r="20" spans="1:7" x14ac:dyDescent="0.25">
      <c r="F20" t="s">
        <v>240</v>
      </c>
    </row>
    <row r="22" spans="1:7" x14ac:dyDescent="0.25">
      <c r="G22" s="191" t="s">
        <v>240</v>
      </c>
    </row>
    <row r="26" spans="1:7" x14ac:dyDescent="0.25">
      <c r="B26" t="s">
        <v>241</v>
      </c>
    </row>
    <row r="27" spans="1:7" x14ac:dyDescent="0.25">
      <c r="B27" t="s">
        <v>242</v>
      </c>
    </row>
    <row r="28" spans="1:7" x14ac:dyDescent="0.25">
      <c r="B28" t="s">
        <v>243</v>
      </c>
    </row>
    <row r="29" spans="1:7" x14ac:dyDescent="0.25">
      <c r="B29" t="s">
        <v>244</v>
      </c>
    </row>
    <row r="30" spans="1:7" x14ac:dyDescent="0.25">
      <c r="B30" t="s">
        <v>245</v>
      </c>
    </row>
    <row r="32" spans="1:7" x14ac:dyDescent="0.25">
      <c r="B32" t="s">
        <v>246</v>
      </c>
    </row>
    <row r="33" spans="1:3" x14ac:dyDescent="0.25">
      <c r="C33" t="s">
        <v>247</v>
      </c>
    </row>
    <row r="34" spans="1:3" x14ac:dyDescent="0.25">
      <c r="C34" t="s">
        <v>248</v>
      </c>
    </row>
    <row r="36" spans="1:3" x14ac:dyDescent="0.25">
      <c r="C36" t="s">
        <v>249</v>
      </c>
    </row>
    <row r="38" spans="1:3" x14ac:dyDescent="0.25">
      <c r="C38" t="s">
        <v>250</v>
      </c>
    </row>
    <row r="42" spans="1:3" x14ac:dyDescent="0.25">
      <c r="A42" s="192" t="s">
        <v>251</v>
      </c>
      <c r="B42" t="s">
        <v>252</v>
      </c>
    </row>
    <row r="43" spans="1:3" x14ac:dyDescent="0.25">
      <c r="B43" t="s">
        <v>253</v>
      </c>
    </row>
    <row r="44" spans="1:3" x14ac:dyDescent="0.25">
      <c r="B44" t="s">
        <v>254</v>
      </c>
    </row>
    <row r="46" spans="1:3" x14ac:dyDescent="0.25">
      <c r="C46" t="s">
        <v>222</v>
      </c>
    </row>
    <row r="47" spans="1:3" x14ac:dyDescent="0.25">
      <c r="C47" t="s">
        <v>223</v>
      </c>
    </row>
    <row r="48" spans="1:3" x14ac:dyDescent="0.25">
      <c r="C48" t="s">
        <v>364</v>
      </c>
    </row>
    <row r="49" spans="2:4" x14ac:dyDescent="0.25">
      <c r="C49" t="s">
        <v>363</v>
      </c>
    </row>
    <row r="50" spans="2:4" x14ac:dyDescent="0.25">
      <c r="C50" t="s">
        <v>365</v>
      </c>
    </row>
    <row r="51" spans="2:4" x14ac:dyDescent="0.25">
      <c r="C51" t="s">
        <v>366</v>
      </c>
    </row>
    <row r="53" spans="2:4" x14ac:dyDescent="0.25">
      <c r="B53" t="s">
        <v>255</v>
      </c>
    </row>
    <row r="56" spans="2:4" x14ac:dyDescent="0.25">
      <c r="D56" s="19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Calculation BELT</vt:lpstr>
      <vt:lpstr>Calculation SCREW</vt:lpstr>
      <vt:lpstr>Blad2</vt:lpstr>
      <vt:lpstr>Calculation WV</vt:lpstr>
      <vt:lpstr>Information</vt:lpstr>
      <vt:lpstr>Blad3</vt:lpstr>
      <vt:lpstr>'Calculation BELT'!Print_Area</vt:lpstr>
      <vt:lpstr>'Calculation SCREW'!Print_Area</vt:lpstr>
      <vt:lpstr>'Calculation WV'!Print_Area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Hjalmarsson</dc:creator>
  <cp:lastModifiedBy>Spectrum1</cp:lastModifiedBy>
  <cp:lastPrinted>2015-03-23T15:15:37Z</cp:lastPrinted>
  <dcterms:created xsi:type="dcterms:W3CDTF">2014-05-13T07:35:45Z</dcterms:created>
  <dcterms:modified xsi:type="dcterms:W3CDTF">2015-04-29T13:34:26Z</dcterms:modified>
</cp:coreProperties>
</file>