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ctrum1\Desktop\"/>
    </mc:Choice>
  </mc:AlternateContent>
  <workbookProtection workbookPassword="CC6C" lockStructure="1"/>
  <bookViews>
    <workbookView xWindow="480" yWindow="105" windowWidth="22995" windowHeight="9975"/>
  </bookViews>
  <sheets>
    <sheet name="Calculation" sheetId="1" r:id="rId1"/>
    <sheet name="Blad2" sheetId="2" state="hidden" r:id="rId2"/>
    <sheet name="Information" sheetId="3" r:id="rId3"/>
  </sheets>
  <definedNames>
    <definedName name="_xlnm.Print_Area" localSheetId="0">Calculation!$A$1:$J$146</definedName>
  </definedNames>
  <calcPr calcId="152511"/>
</workbook>
</file>

<file path=xl/calcChain.xml><?xml version="1.0" encoding="utf-8"?>
<calcChain xmlns="http://schemas.openxmlformats.org/spreadsheetml/2006/main">
  <c r="M48" i="1" l="1"/>
  <c r="M49" i="1"/>
  <c r="M47" i="1"/>
  <c r="E117" i="1" l="1"/>
  <c r="BF4" i="1"/>
  <c r="G131" i="1" l="1"/>
  <c r="V166" i="1" l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67" i="1"/>
  <c r="E125" i="1"/>
  <c r="C125" i="1"/>
  <c r="C121" i="1"/>
  <c r="E120" i="1"/>
  <c r="C120" i="1"/>
  <c r="E119" i="1"/>
  <c r="C119" i="1"/>
  <c r="E118" i="1"/>
  <c r="C118" i="1"/>
  <c r="C117" i="1"/>
  <c r="T155" i="1"/>
  <c r="N222" i="1"/>
  <c r="O222" i="1"/>
  <c r="P222" i="1"/>
  <c r="M222" i="1"/>
  <c r="N194" i="1"/>
  <c r="O194" i="1"/>
  <c r="P194" i="1"/>
  <c r="M194" i="1"/>
  <c r="M165" i="1"/>
  <c r="N165" i="1"/>
  <c r="O165" i="1"/>
  <c r="P165" i="1"/>
  <c r="D120" i="1" s="1"/>
  <c r="Q165" i="1"/>
  <c r="R165" i="1"/>
  <c r="S165" i="1"/>
  <c r="T165" i="1"/>
  <c r="U165" i="1"/>
  <c r="V165" i="1"/>
  <c r="W165" i="1"/>
  <c r="X165" i="1"/>
  <c r="Y165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63" i="1"/>
  <c r="P256" i="1"/>
  <c r="P255" i="1"/>
  <c r="C112" i="1"/>
  <c r="C111" i="1"/>
  <c r="E112" i="1"/>
  <c r="E111" i="1"/>
  <c r="C110" i="1"/>
  <c r="C109" i="1"/>
  <c r="AB127" i="1"/>
  <c r="D118" i="1" l="1"/>
  <c r="D119" i="1"/>
  <c r="Q210" i="1"/>
  <c r="Q209" i="1"/>
  <c r="R208" i="1"/>
  <c r="Q208" i="1"/>
  <c r="R206" i="1"/>
  <c r="Q206" i="1"/>
  <c r="Q205" i="1"/>
  <c r="R204" i="1"/>
  <c r="R194" i="1" s="1"/>
  <c r="T156" i="1" s="1"/>
  <c r="Q204" i="1"/>
  <c r="Q203" i="1"/>
  <c r="Q202" i="1"/>
  <c r="Q201" i="1"/>
  <c r="Q199" i="1"/>
  <c r="Q198" i="1"/>
  <c r="Q197" i="1"/>
  <c r="Q196" i="1"/>
  <c r="Q195" i="1"/>
  <c r="Q194" i="1" l="1"/>
  <c r="D117" i="1" s="1"/>
  <c r="AA151" i="1"/>
  <c r="AC151" i="1" s="1"/>
  <c r="S15" i="1" l="1"/>
  <c r="H99" i="1"/>
  <c r="M126" i="1" l="1"/>
  <c r="AC126" i="1" s="1"/>
  <c r="Z91" i="1"/>
  <c r="V94" i="1" s="1"/>
  <c r="AB126" i="1" l="1"/>
  <c r="T154" i="1" s="1"/>
  <c r="AA126" i="1"/>
  <c r="S126" i="1"/>
  <c r="U126" i="1"/>
  <c r="R126" i="1"/>
  <c r="T126" i="1"/>
  <c r="P126" i="1"/>
  <c r="Q126" i="1"/>
  <c r="N126" i="1"/>
  <c r="O126" i="1"/>
  <c r="BE4" i="1"/>
  <c r="BD4" i="1"/>
  <c r="BC4" i="1"/>
  <c r="BB4" i="1"/>
  <c r="BA4" i="1"/>
  <c r="AZ4" i="1" l="1"/>
  <c r="AY4" i="1"/>
  <c r="AX4" i="1"/>
  <c r="AW4" i="1"/>
  <c r="AV4" i="1"/>
  <c r="AU4" i="1"/>
  <c r="AT4" i="1"/>
  <c r="R113" i="1" l="1"/>
  <c r="R114" i="1"/>
  <c r="AA15" i="1"/>
  <c r="S10" i="1"/>
  <c r="AS4" i="1"/>
  <c r="R112" i="1" s="1"/>
  <c r="AR4" i="1"/>
  <c r="AQ4" i="1"/>
  <c r="AE39" i="1" l="1"/>
  <c r="AA150" i="1"/>
  <c r="U113" i="1"/>
  <c r="N131" i="1"/>
  <c r="F99" i="1"/>
  <c r="E51" i="1"/>
  <c r="D132" i="1" l="1"/>
  <c r="F131" i="1" s="1"/>
  <c r="AC150" i="1"/>
  <c r="W109" i="1"/>
  <c r="V109" i="1" s="1"/>
  <c r="W110" i="1" s="1"/>
  <c r="W10" i="1"/>
  <c r="S109" i="1"/>
  <c r="R109" i="1" s="1"/>
  <c r="AP4" i="1"/>
  <c r="R4" i="1"/>
  <c r="X17" i="1" l="1"/>
  <c r="X16" i="1"/>
  <c r="H41" i="1"/>
  <c r="AI102" i="1"/>
  <c r="AD106" i="1"/>
  <c r="AD104" i="1"/>
  <c r="AE102" i="1"/>
  <c r="S100" i="1" l="1"/>
  <c r="R100" i="1"/>
  <c r="AA16" i="1" l="1"/>
  <c r="A69" i="1"/>
  <c r="Z90" i="1"/>
  <c r="V93" i="1"/>
  <c r="S91" i="1"/>
  <c r="R91" i="1"/>
  <c r="S90" i="1"/>
  <c r="R90" i="1"/>
  <c r="V89" i="1"/>
  <c r="Z78" i="1"/>
  <c r="Z77" i="1"/>
  <c r="V81" i="1"/>
  <c r="V80" i="1"/>
  <c r="S78" i="1"/>
  <c r="R78" i="1"/>
  <c r="S77" i="1"/>
  <c r="R77" i="1"/>
  <c r="T76" i="1"/>
  <c r="AB92" i="1"/>
  <c r="AE106" i="1" s="1"/>
  <c r="S65" i="1"/>
  <c r="R65" i="1"/>
  <c r="S64" i="1"/>
  <c r="T64" i="1" s="1"/>
  <c r="AB105" i="1" l="1"/>
  <c r="AE78" i="1"/>
  <c r="Z106" i="1"/>
  <c r="AF90" i="1"/>
  <c r="AF96" i="1" s="1"/>
  <c r="AL106" i="1" s="1"/>
  <c r="Z105" i="1"/>
  <c r="AF77" i="1"/>
  <c r="AB106" i="1"/>
  <c r="AE91" i="1"/>
  <c r="Z79" i="1"/>
  <c r="AB68" i="1"/>
  <c r="AI104" i="1" s="1"/>
  <c r="AB66" i="1"/>
  <c r="AE104" i="1" s="1"/>
  <c r="Z52" i="1"/>
  <c r="V55" i="1"/>
  <c r="S52" i="1"/>
  <c r="S51" i="1"/>
  <c r="T51" i="1" s="1"/>
  <c r="R52" i="1"/>
  <c r="R50" i="1"/>
  <c r="AB103" i="1" l="1"/>
  <c r="AE52" i="1"/>
  <c r="AD105" i="1"/>
  <c r="Z38" i="1"/>
  <c r="V41" i="1"/>
  <c r="S39" i="1"/>
  <c r="S38" i="1"/>
  <c r="R38" i="1"/>
  <c r="R24" i="1"/>
  <c r="R23" i="1"/>
  <c r="AF38" i="1" l="1"/>
  <c r="AF44" i="1" s="1"/>
  <c r="AL102" i="1" s="1"/>
  <c r="Z102" i="1"/>
  <c r="Z40" i="1"/>
  <c r="AD102" i="1" s="1"/>
  <c r="V12" i="1"/>
  <c r="AO4" i="1"/>
  <c r="AE79" i="1" s="1"/>
  <c r="AL4" i="1"/>
  <c r="AK4" i="1"/>
  <c r="V76" i="1" l="1"/>
  <c r="AB7" i="1"/>
  <c r="AB6" i="1"/>
  <c r="AB5" i="1"/>
  <c r="AA7" i="1"/>
  <c r="AA6" i="1"/>
  <c r="AA5" i="1"/>
  <c r="Z7" i="1"/>
  <c r="Z6" i="1"/>
  <c r="Z5" i="1"/>
  <c r="Y10" i="1"/>
  <c r="Z24" i="1"/>
  <c r="AF24" i="1" s="1"/>
  <c r="AN7" i="1"/>
  <c r="AN6" i="1"/>
  <c r="AN5" i="1"/>
  <c r="S25" i="1"/>
  <c r="S24" i="1"/>
  <c r="AM7" i="1"/>
  <c r="AM6" i="1"/>
  <c r="AM5" i="1"/>
  <c r="AJ7" i="1"/>
  <c r="AJ6" i="1"/>
  <c r="AJ5" i="1"/>
  <c r="AD7" i="1"/>
  <c r="AD6" i="1"/>
  <c r="AD5" i="1"/>
  <c r="AC7" i="1"/>
  <c r="AC6" i="1"/>
  <c r="AC5" i="1"/>
  <c r="AI7" i="1"/>
  <c r="AI6" i="1"/>
  <c r="AI5" i="1"/>
  <c r="AH4" i="1"/>
  <c r="AG4" i="1"/>
  <c r="E50" i="1" s="1"/>
  <c r="AF4" i="1"/>
  <c r="AE4" i="1"/>
  <c r="Y4" i="1"/>
  <c r="F53" i="1"/>
  <c r="Z39" i="1" l="1"/>
  <c r="Z65" i="1"/>
  <c r="AE65" i="1" s="1"/>
  <c r="AI4" i="1"/>
  <c r="AB63" i="1" s="1"/>
  <c r="Y104" i="1" s="1"/>
  <c r="AA4" i="1"/>
  <c r="AB25" i="1" s="1"/>
  <c r="AC101" i="1" s="1"/>
  <c r="T77" i="1"/>
  <c r="Z80" i="1" s="1"/>
  <c r="T91" i="1"/>
  <c r="Z94" i="1" s="1"/>
  <c r="AH106" i="1" s="1"/>
  <c r="T25" i="1"/>
  <c r="Z28" i="1" s="1"/>
  <c r="T65" i="1"/>
  <c r="Z68" i="1" s="1"/>
  <c r="AH104" i="1" s="1"/>
  <c r="T24" i="1"/>
  <c r="T90" i="1"/>
  <c r="Z93" i="1" s="1"/>
  <c r="T39" i="1"/>
  <c r="Z42" i="1" s="1"/>
  <c r="AH102" i="1" s="1"/>
  <c r="T23" i="1"/>
  <c r="T78" i="1"/>
  <c r="Z81" i="1" s="1"/>
  <c r="AH105" i="1" s="1"/>
  <c r="T52" i="1"/>
  <c r="Z55" i="1" s="1"/>
  <c r="T38" i="1"/>
  <c r="Z41" i="1" s="1"/>
  <c r="AB4" i="1"/>
  <c r="AB79" i="1" s="1"/>
  <c r="AJ4" i="1"/>
  <c r="AN4" i="1"/>
  <c r="AJ63" i="1" s="1"/>
  <c r="Z101" i="1"/>
  <c r="V27" i="1"/>
  <c r="Z4" i="1"/>
  <c r="AB90" i="1" s="1"/>
  <c r="AM4" i="1"/>
  <c r="N132" i="1" s="1"/>
  <c r="N133" i="1" s="1"/>
  <c r="D99" i="1" s="1"/>
  <c r="AC4" i="1"/>
  <c r="AB27" i="1" s="1"/>
  <c r="AG101" i="1" s="1"/>
  <c r="Z25" i="1"/>
  <c r="AE25" i="1" s="1"/>
  <c r="V68" i="1"/>
  <c r="Z64" i="1"/>
  <c r="V67" i="1" s="1"/>
  <c r="Z67" i="1"/>
  <c r="Z51" i="1"/>
  <c r="V54" i="1" s="1"/>
  <c r="T50" i="1"/>
  <c r="Z54" i="1"/>
  <c r="AE54" i="1" s="1"/>
  <c r="AD4" i="1"/>
  <c r="C7" i="2"/>
  <c r="C4" i="2"/>
  <c r="AE41" i="1" l="1"/>
  <c r="AE67" i="1"/>
  <c r="AF105" i="1"/>
  <c r="AE80" i="1"/>
  <c r="AF106" i="1"/>
  <c r="AE93" i="1"/>
  <c r="AE96" i="1" s="1"/>
  <c r="AK106" i="1" s="1"/>
  <c r="AF64" i="1"/>
  <c r="AF70" i="1" s="1"/>
  <c r="AL104" i="1" s="1"/>
  <c r="AB89" i="1"/>
  <c r="Y106" i="1" s="1"/>
  <c r="AB37" i="1"/>
  <c r="Y102" i="1" s="1"/>
  <c r="AB23" i="1"/>
  <c r="Y101" i="1" s="1"/>
  <c r="AB50" i="1"/>
  <c r="Y103" i="1" s="1"/>
  <c r="AB76" i="1"/>
  <c r="Y105" i="1" s="1"/>
  <c r="AB78" i="1"/>
  <c r="AC105" i="1" s="1"/>
  <c r="AB26" i="1"/>
  <c r="AE101" i="1" s="1"/>
  <c r="AB39" i="1"/>
  <c r="AC102" i="1" s="1"/>
  <c r="AB91" i="1"/>
  <c r="AC106" i="1" s="1"/>
  <c r="AB65" i="1"/>
  <c r="AC104" i="1" s="1"/>
  <c r="V13" i="1"/>
  <c r="AB52" i="1"/>
  <c r="AC103" i="1" s="1"/>
  <c r="AB53" i="1"/>
  <c r="AE103" i="1" s="1"/>
  <c r="AB104" i="1"/>
  <c r="AF102" i="1"/>
  <c r="V11" i="1"/>
  <c r="AF28" i="1"/>
  <c r="AF30" i="1" s="1"/>
  <c r="AL101" i="1" s="1"/>
  <c r="AB51" i="1"/>
  <c r="AC51" i="1" s="1"/>
  <c r="AE83" i="1"/>
  <c r="AK105" i="1" s="1"/>
  <c r="AE70" i="1"/>
  <c r="AK104" i="1" s="1"/>
  <c r="AF81" i="1"/>
  <c r="AF83" i="1" s="1"/>
  <c r="AL105" i="1" s="1"/>
  <c r="AH103" i="1"/>
  <c r="AF55" i="1"/>
  <c r="Z103" i="1"/>
  <c r="AF51" i="1"/>
  <c r="AF103" i="1"/>
  <c r="AF104" i="1"/>
  <c r="Z104" i="1"/>
  <c r="AB93" i="1"/>
  <c r="AC93" i="1" s="1"/>
  <c r="AB24" i="1"/>
  <c r="AA101" i="1" s="1"/>
  <c r="AB80" i="1"/>
  <c r="AG105" i="1" s="1"/>
  <c r="AB64" i="1"/>
  <c r="AA104" i="1" s="1"/>
  <c r="AB77" i="1"/>
  <c r="AA105" i="1" s="1"/>
  <c r="AB38" i="1"/>
  <c r="AA102" i="1" s="1"/>
  <c r="AB67" i="1"/>
  <c r="AC67" i="1" s="1"/>
  <c r="AH101" i="1"/>
  <c r="AH100" i="1" s="1"/>
  <c r="B77" i="1" s="1"/>
  <c r="AB101" i="1"/>
  <c r="V38" i="1"/>
  <c r="V51" i="1"/>
  <c r="V28" i="1"/>
  <c r="V64" i="1"/>
  <c r="V71" i="1" s="1"/>
  <c r="V78" i="1"/>
  <c r="V42" i="1"/>
  <c r="V77" i="1"/>
  <c r="V90" i="1"/>
  <c r="V97" i="1" s="1"/>
  <c r="AH89" i="1" s="1"/>
  <c r="Z89" i="1"/>
  <c r="X106" i="1" s="1"/>
  <c r="AC25" i="1"/>
  <c r="AB41" i="1"/>
  <c r="AB54" i="1"/>
  <c r="AC54" i="1" s="1"/>
  <c r="V52" i="1"/>
  <c r="AB102" i="1"/>
  <c r="Z100" i="1"/>
  <c r="Z53" i="1"/>
  <c r="AE53" i="1" s="1"/>
  <c r="V50" i="1"/>
  <c r="AB28" i="1"/>
  <c r="AI101" i="1" s="1"/>
  <c r="AB94" i="1"/>
  <c r="AI106" i="1" s="1"/>
  <c r="AB81" i="1"/>
  <c r="AB55" i="1"/>
  <c r="AC65" i="1"/>
  <c r="AC90" i="1"/>
  <c r="AA106" i="1"/>
  <c r="AC78" i="1"/>
  <c r="AE105" i="1"/>
  <c r="AC79" i="1"/>
  <c r="Z26" i="1"/>
  <c r="AE26" i="1" s="1"/>
  <c r="Z27" i="1"/>
  <c r="AE27" i="1" s="1"/>
  <c r="V25" i="1"/>
  <c r="V23" i="1"/>
  <c r="V24" i="1"/>
  <c r="J9" i="2"/>
  <c r="C5" i="2"/>
  <c r="J11" i="2" s="1"/>
  <c r="AC39" i="1" l="1"/>
  <c r="Y100" i="1"/>
  <c r="D72" i="1" s="1"/>
  <c r="AE100" i="1"/>
  <c r="D75" i="1" s="1"/>
  <c r="AA103" i="1"/>
  <c r="V10" i="1"/>
  <c r="AC91" i="1"/>
  <c r="AC80" i="1"/>
  <c r="AE44" i="1"/>
  <c r="AK102" i="1" s="1"/>
  <c r="AC77" i="1"/>
  <c r="AC52" i="1"/>
  <c r="AM106" i="1"/>
  <c r="AH63" i="1"/>
  <c r="Z63" i="1"/>
  <c r="X104" i="1" s="1"/>
  <c r="AC38" i="1"/>
  <c r="AG106" i="1"/>
  <c r="AG103" i="1"/>
  <c r="AC24" i="1"/>
  <c r="AB100" i="1"/>
  <c r="B74" i="1" s="1"/>
  <c r="AG102" i="1"/>
  <c r="V58" i="1"/>
  <c r="AC41" i="1"/>
  <c r="B73" i="1"/>
  <c r="AC100" i="1"/>
  <c r="D74" i="1" s="1"/>
  <c r="AA100" i="1"/>
  <c r="D73" i="1" s="1"/>
  <c r="AF57" i="1"/>
  <c r="AL103" i="1" s="1"/>
  <c r="AL100" i="1" s="1"/>
  <c r="T120" i="1" s="1"/>
  <c r="AD103" i="1"/>
  <c r="AE57" i="1"/>
  <c r="AK103" i="1" s="1"/>
  <c r="AG104" i="1"/>
  <c r="AC64" i="1"/>
  <c r="AC70" i="1" s="1"/>
  <c r="AJ104" i="1" s="1"/>
  <c r="AC28" i="1"/>
  <c r="V45" i="1"/>
  <c r="AF101" i="1"/>
  <c r="AF100" i="1" s="1"/>
  <c r="B76" i="1" s="1"/>
  <c r="AD101" i="1"/>
  <c r="AE30" i="1"/>
  <c r="AK101" i="1" s="1"/>
  <c r="V84" i="1"/>
  <c r="AC53" i="1"/>
  <c r="AC96" i="1"/>
  <c r="AJ106" i="1" s="1"/>
  <c r="AI103" i="1"/>
  <c r="AC55" i="1"/>
  <c r="AI105" i="1"/>
  <c r="AI100" i="1" s="1"/>
  <c r="D77" i="1" s="1"/>
  <c r="F77" i="1" s="1"/>
  <c r="AC81" i="1"/>
  <c r="AC27" i="1"/>
  <c r="AC26" i="1"/>
  <c r="V31" i="1"/>
  <c r="AH23" i="1" s="1"/>
  <c r="J8" i="2"/>
  <c r="J10" i="2"/>
  <c r="AG100" i="1" l="1"/>
  <c r="D76" i="1" s="1"/>
  <c r="AC83" i="1"/>
  <c r="AJ105" i="1" s="1"/>
  <c r="AC44" i="1"/>
  <c r="AJ102" i="1" s="1"/>
  <c r="AM104" i="1"/>
  <c r="AM101" i="1"/>
  <c r="Z76" i="1"/>
  <c r="X105" i="1" s="1"/>
  <c r="AH76" i="1"/>
  <c r="AH37" i="1"/>
  <c r="AM102" i="1" s="1"/>
  <c r="Z37" i="1"/>
  <c r="X102" i="1" s="1"/>
  <c r="AH50" i="1"/>
  <c r="AM103" i="1" s="1"/>
  <c r="Z50" i="1"/>
  <c r="Z23" i="1"/>
  <c r="AD100" i="1"/>
  <c r="B75" i="1" s="1"/>
  <c r="F75" i="1" s="1"/>
  <c r="AK100" i="1"/>
  <c r="T119" i="1" s="1"/>
  <c r="F76" i="1"/>
  <c r="F74" i="1"/>
  <c r="F73" i="1"/>
  <c r="AC57" i="1"/>
  <c r="AJ103" i="1" s="1"/>
  <c r="AC30" i="1"/>
  <c r="AJ101" i="1" s="1"/>
  <c r="F16" i="1"/>
  <c r="A20" i="1"/>
  <c r="U13" i="1"/>
  <c r="X4" i="1"/>
  <c r="I12" i="1" s="1"/>
  <c r="W4" i="1"/>
  <c r="U12" i="1" s="1"/>
  <c r="V4" i="1"/>
  <c r="U4" i="1"/>
  <c r="C18" i="1" s="1"/>
  <c r="T4" i="1"/>
  <c r="C13" i="1" s="1"/>
  <c r="H16" i="1"/>
  <c r="S4" i="1"/>
  <c r="E12" i="1" s="1"/>
  <c r="G22" i="1"/>
  <c r="F23" i="1"/>
  <c r="H13" i="1"/>
  <c r="G13" i="1"/>
  <c r="F13" i="1"/>
  <c r="E16" i="1"/>
  <c r="AM105" i="1" l="1"/>
  <c r="AM100" i="1" s="1"/>
  <c r="P142" i="1" s="1"/>
  <c r="D101" i="1" s="1"/>
  <c r="F101" i="1" s="1"/>
  <c r="X103" i="1"/>
  <c r="X101" i="1"/>
  <c r="AB119" i="1"/>
  <c r="AB120" i="1"/>
  <c r="AJ100" i="1"/>
  <c r="U10" i="1"/>
  <c r="G17" i="1" s="1"/>
  <c r="V142" i="1" l="1"/>
  <c r="D128" i="1" s="1"/>
  <c r="D130" i="1" s="1"/>
  <c r="V126" i="1"/>
  <c r="T149" i="1" s="1"/>
  <c r="AI89" i="1"/>
  <c r="AN106" i="1" s="1"/>
  <c r="AI37" i="1"/>
  <c r="AN102" i="1" s="1"/>
  <c r="AI63" i="1"/>
  <c r="AN104" i="1" s="1"/>
  <c r="AI23" i="1"/>
  <c r="AN101" i="1" s="1"/>
  <c r="AI76" i="1"/>
  <c r="AN105" i="1" s="1"/>
  <c r="AI50" i="1"/>
  <c r="AN103" i="1" s="1"/>
  <c r="X100" i="1"/>
  <c r="AB117" i="1" s="1"/>
  <c r="AG117" i="1" s="1"/>
  <c r="D88" i="1" s="1"/>
  <c r="F88" i="1" s="1"/>
  <c r="AB121" i="1"/>
  <c r="G78" i="1"/>
  <c r="D22" i="1"/>
  <c r="U109" i="1"/>
  <c r="T109" i="1" s="1"/>
  <c r="C81" i="1" s="1"/>
  <c r="C6" i="2"/>
  <c r="H6" i="2" s="1"/>
  <c r="N11" i="2" s="1"/>
  <c r="AN100" i="1" l="1"/>
  <c r="P143" i="1" s="1"/>
  <c r="AB116" i="1"/>
  <c r="AG116" i="1" s="1"/>
  <c r="D87" i="1" s="1"/>
  <c r="F87" i="1" s="1"/>
  <c r="B72" i="1"/>
  <c r="B79" i="1" s="1"/>
  <c r="AI117" i="1"/>
  <c r="AK117" i="1" s="1"/>
  <c r="D96" i="1" s="1"/>
  <c r="AG121" i="1"/>
  <c r="D86" i="1" s="1"/>
  <c r="F86" i="1" s="1"/>
  <c r="I10" i="2"/>
  <c r="I11" i="2" s="1"/>
  <c r="I4" i="2"/>
  <c r="I8" i="2"/>
  <c r="I9" i="2" s="1"/>
  <c r="F72" i="1" l="1"/>
  <c r="D102" i="1"/>
  <c r="F102" i="1" s="1"/>
  <c r="B104" i="1"/>
  <c r="P145" i="1"/>
  <c r="AI116" i="1"/>
  <c r="AK116" i="1" s="1"/>
  <c r="D95" i="1" s="1"/>
  <c r="D94" i="1"/>
  <c r="C11" i="2"/>
  <c r="C9" i="2"/>
  <c r="J5" i="2"/>
  <c r="I14" i="2"/>
  <c r="H8" i="2"/>
  <c r="H10" i="2"/>
  <c r="C10" i="2" s="1"/>
  <c r="A18" i="2"/>
  <c r="A59" i="1" s="1"/>
  <c r="C18" i="2"/>
  <c r="C59" i="1" s="1"/>
  <c r="D18" i="2"/>
  <c r="D59" i="1" s="1"/>
  <c r="A17" i="2"/>
  <c r="A58" i="1" s="1"/>
  <c r="I5" i="2"/>
  <c r="L12" i="2" s="1"/>
  <c r="M12" i="2" s="1"/>
  <c r="L11" i="2" l="1"/>
  <c r="J12" i="2"/>
  <c r="C8" i="2"/>
  <c r="H12" i="2"/>
  <c r="C12" i="2" l="1"/>
  <c r="C13" i="2"/>
  <c r="J14" i="2" s="1"/>
  <c r="C14" i="2" s="1"/>
  <c r="M11" i="2"/>
  <c r="C15" i="2" l="1"/>
  <c r="C56" i="1"/>
  <c r="G90" i="1" s="1"/>
  <c r="H90" i="1" s="1"/>
  <c r="Y126" i="1" l="1"/>
  <c r="X126" i="1"/>
  <c r="T151" i="1" s="1"/>
  <c r="Z126" i="1"/>
  <c r="W126" i="1"/>
  <c r="T150" i="1" s="1"/>
  <c r="T152" i="1" l="1"/>
  <c r="S153" i="1" s="1"/>
  <c r="S158" i="1" l="1"/>
  <c r="R159" i="1" s="1"/>
  <c r="D133" i="1" s="1"/>
  <c r="AC149" i="1"/>
  <c r="AC152" i="1" s="1"/>
  <c r="V143" i="1" s="1"/>
  <c r="D129" i="1" s="1"/>
  <c r="D131" i="1" s="1"/>
  <c r="D103" i="1"/>
  <c r="AA149" i="1"/>
  <c r="AA152" i="1" s="1"/>
</calcChain>
</file>

<file path=xl/comments1.xml><?xml version="1.0" encoding="utf-8"?>
<comments xmlns="http://schemas.openxmlformats.org/spreadsheetml/2006/main">
  <authors>
    <author>Hjalmarsson</author>
  </authors>
  <commentList>
    <comment ref="AH20" authorId="0" shapeId="0">
      <text>
        <r>
          <rPr>
            <b/>
            <sz val="9"/>
            <color indexed="81"/>
            <rFont val="Tahoma"/>
            <family val="2"/>
          </rPr>
          <t>Hjalmarsson:</t>
        </r>
        <r>
          <rPr>
            <sz val="9"/>
            <color indexed="81"/>
            <rFont val="Tahoma"/>
            <family val="2"/>
          </rPr>
          <t xml:space="preserve">
Bara krafter på grund av last och friktion. Preload ingår som idle torque
</t>
        </r>
      </text>
    </comment>
  </commentList>
</comments>
</file>

<file path=xl/sharedStrings.xml><?xml version="1.0" encoding="utf-8"?>
<sst xmlns="http://schemas.openxmlformats.org/spreadsheetml/2006/main" count="756" uniqueCount="368">
  <si>
    <t>Sizing &amp; selection</t>
  </si>
  <si>
    <t>Customer</t>
  </si>
  <si>
    <t>Project</t>
  </si>
  <si>
    <t>Date</t>
  </si>
  <si>
    <t>Ref:</t>
  </si>
  <si>
    <t>xxx</t>
  </si>
  <si>
    <t>Linear drive unit:</t>
  </si>
  <si>
    <t>Size</t>
  </si>
  <si>
    <t>Guidings</t>
  </si>
  <si>
    <t>Saddle</t>
  </si>
  <si>
    <t>mm</t>
  </si>
  <si>
    <t>Repeatability</t>
  </si>
  <si>
    <t>Weight of linear drive unit/-s</t>
  </si>
  <si>
    <t>kg</t>
  </si>
  <si>
    <t>Mounting direction</t>
  </si>
  <si>
    <t>Linear unit WH</t>
  </si>
  <si>
    <t>WH50 WH80 WH120</t>
  </si>
  <si>
    <t>WH50</t>
  </si>
  <si>
    <t>WH80</t>
  </si>
  <si>
    <t>WH120</t>
  </si>
  <si>
    <t xml:space="preserve">  Wheel guide</t>
  </si>
  <si>
    <t xml:space="preserve">  Belt drive</t>
  </si>
  <si>
    <t>16ATL5</t>
  </si>
  <si>
    <t>32ATL10</t>
  </si>
  <si>
    <t>50ATL10</t>
  </si>
  <si>
    <t>N = Single standard carriage</t>
  </si>
  <si>
    <t>L = Single long carriage</t>
  </si>
  <si>
    <t>Z = Double standard carriage</t>
  </si>
  <si>
    <t>Stroke</t>
  </si>
  <si>
    <t>Total length</t>
  </si>
  <si>
    <t>Move per rev</t>
  </si>
  <si>
    <t>Horizontal</t>
  </si>
  <si>
    <t>Vertical</t>
  </si>
  <si>
    <t>Fx =</t>
  </si>
  <si>
    <t>N</t>
  </si>
  <si>
    <t>Fy =</t>
  </si>
  <si>
    <t>Fz =</t>
  </si>
  <si>
    <t>Mx =</t>
  </si>
  <si>
    <t>My =</t>
  </si>
  <si>
    <t>Mz =</t>
  </si>
  <si>
    <t>Nm</t>
  </si>
  <si>
    <t>Total mass to move</t>
  </si>
  <si>
    <t>Lx =</t>
  </si>
  <si>
    <t>Ly =</t>
  </si>
  <si>
    <t>Lz =</t>
  </si>
  <si>
    <t>Speed</t>
  </si>
  <si>
    <t>Acceleration</t>
  </si>
  <si>
    <t>m/s</t>
  </si>
  <si>
    <t>m/s²</t>
  </si>
  <si>
    <t>Customized profile</t>
  </si>
  <si>
    <r>
      <t>m/s</t>
    </r>
    <r>
      <rPr>
        <vertAlign val="superscript"/>
        <sz val="10"/>
        <rFont val="Arial"/>
        <family val="2"/>
      </rPr>
      <t>2</t>
    </r>
  </si>
  <si>
    <t>Deceleration</t>
  </si>
  <si>
    <t>Distance (stroke)</t>
  </si>
  <si>
    <t>Distance for acc.</t>
  </si>
  <si>
    <t>Time for acc.</t>
  </si>
  <si>
    <t>s</t>
  </si>
  <si>
    <t>Distance for decel.</t>
  </si>
  <si>
    <t>Time for decel.</t>
  </si>
  <si>
    <t>Dist. at const speed</t>
  </si>
  <si>
    <t>Time at const speed</t>
  </si>
  <si>
    <t>Cycle time</t>
  </si>
  <si>
    <t>Average speed</t>
  </si>
  <si>
    <t>Move profile over</t>
  </si>
  <si>
    <t>mm stroke</t>
  </si>
  <si>
    <t>Time to move one direction</t>
  </si>
  <si>
    <t>sec</t>
  </si>
  <si>
    <t>max stroke</t>
  </si>
  <si>
    <t>Min dist carriages</t>
  </si>
  <si>
    <t>Fy</t>
  </si>
  <si>
    <t>Fz</t>
  </si>
  <si>
    <t>Mx</t>
  </si>
  <si>
    <t>My</t>
  </si>
  <si>
    <t>Mz</t>
  </si>
  <si>
    <t>Frd</t>
  </si>
  <si>
    <t>Mta</t>
  </si>
  <si>
    <t>Acc</t>
  </si>
  <si>
    <t>Fx max</t>
  </si>
  <si>
    <t>speed</t>
  </si>
  <si>
    <t>weight</t>
  </si>
  <si>
    <t xml:space="preserve">Fx at this </t>
  </si>
  <si>
    <t xml:space="preserve">Carriage </t>
  </si>
  <si>
    <t>preload</t>
  </si>
  <si>
    <t>friction</t>
  </si>
  <si>
    <t>Wheel distance</t>
  </si>
  <si>
    <t>Lx</t>
  </si>
  <si>
    <t>Ly</t>
  </si>
  <si>
    <t>Load torques caused by off center load</t>
  </si>
  <si>
    <t>Static</t>
  </si>
  <si>
    <t>Dynamic</t>
  </si>
  <si>
    <t>Totally</t>
  </si>
  <si>
    <t>Friction factor =</t>
  </si>
  <si>
    <t>Friction</t>
  </si>
  <si>
    <t>Max</t>
  </si>
  <si>
    <t>allowed</t>
  </si>
  <si>
    <t>% of max</t>
  </si>
  <si>
    <t>Will this mass be carried by the carriage/carriages?</t>
  </si>
  <si>
    <t>Yes</t>
  </si>
  <si>
    <t>No</t>
  </si>
  <si>
    <t>Result:</t>
  </si>
  <si>
    <t>Allowed</t>
  </si>
  <si>
    <t>Weight</t>
  </si>
  <si>
    <t>0 stroke</t>
  </si>
  <si>
    <t>100 mm</t>
  </si>
  <si>
    <t>Anser att Mz blir ett kraftpar som ökar Fx</t>
  </si>
  <si>
    <t>Anser att Mx blir ett kraftpar som ökar Fz</t>
  </si>
  <si>
    <t>Horizontal mounting, single unit, carriage sideway</t>
  </si>
  <si>
    <t>Horizontal mounting, two units, carriages sideway</t>
  </si>
  <si>
    <t>Horizontal mounting, 2 units, carriage at top</t>
  </si>
  <si>
    <t>Vertical mounting, single unit</t>
  </si>
  <si>
    <t>Vertical  mounting, two units</t>
  </si>
  <si>
    <t>Horizontal mounting, single unit, carriage at top</t>
  </si>
  <si>
    <t>Fx</t>
  </si>
  <si>
    <t>Total</t>
  </si>
  <si>
    <t>units</t>
  </si>
  <si>
    <t>Configuration</t>
  </si>
  <si>
    <t>one single unit</t>
  </si>
  <si>
    <t>two units in parallel</t>
  </si>
  <si>
    <t>Number of units</t>
  </si>
  <si>
    <t>WH05Z120</t>
  </si>
  <si>
    <t>WH08Z200</t>
  </si>
  <si>
    <t>WH12Z260</t>
  </si>
  <si>
    <t>L</t>
  </si>
  <si>
    <t>Z</t>
  </si>
  <si>
    <t>Designation:</t>
  </si>
  <si>
    <t>kg     in location from top of carriage</t>
  </si>
  <si>
    <t>Drive mechanism</t>
  </si>
  <si>
    <t>each wheel</t>
  </si>
  <si>
    <t>C dyn</t>
  </si>
  <si>
    <r>
      <t>D</t>
    </r>
    <r>
      <rPr>
        <vertAlign val="subscript"/>
        <sz val="11"/>
        <color theme="1"/>
        <rFont val="Arial"/>
        <family val="2"/>
      </rPr>
      <t>a</t>
    </r>
  </si>
  <si>
    <t>Radial F</t>
  </si>
  <si>
    <t>Axial F</t>
  </si>
  <si>
    <t>at one wheel max</t>
  </si>
  <si>
    <t>rpm wheels</t>
  </si>
  <si>
    <t>Each wheel</t>
  </si>
  <si>
    <t>F rad</t>
  </si>
  <si>
    <t>F axial</t>
  </si>
  <si>
    <t>rpm drive wheel</t>
  </si>
  <si>
    <t>rpm tension wheel</t>
  </si>
  <si>
    <t xml:space="preserve">Drive </t>
  </si>
  <si>
    <t>tension</t>
  </si>
  <si>
    <t>pulley diameter</t>
  </si>
  <si>
    <t>belt</t>
  </si>
  <si>
    <t>61906 INA</t>
  </si>
  <si>
    <t>Type</t>
  </si>
  <si>
    <t>C</t>
  </si>
  <si>
    <t>6010 SKF</t>
  </si>
  <si>
    <t>6011 SKF</t>
  </si>
  <si>
    <t>Tension station</t>
  </si>
  <si>
    <t>Drive station</t>
  </si>
  <si>
    <t>609 SKF</t>
  </si>
  <si>
    <t>6204 SKF</t>
  </si>
  <si>
    <t>6305 SKF</t>
  </si>
  <si>
    <t>Force at drive pulley equally shared on two ball bearings. Total force( 2 x 1,1 x pretension belt) + Fx</t>
  </si>
  <si>
    <t>Force at tensioning wheel equally shared on two ball bearings. Total force (2 x 1,1 x pretension belt) + (2 x Fx)</t>
  </si>
  <si>
    <t>N / bearing</t>
  </si>
  <si>
    <t>Lifetime ball bearing</t>
  </si>
  <si>
    <t>h</t>
  </si>
  <si>
    <t>Calculation equivalent load  P = x*Fr + y*Fa</t>
  </si>
  <si>
    <t xml:space="preserve">x = </t>
  </si>
  <si>
    <t>Max radial load wheel  Fr</t>
  </si>
  <si>
    <t>Max axial load wheel    Fa</t>
  </si>
  <si>
    <t xml:space="preserve">y = </t>
  </si>
  <si>
    <t xml:space="preserve">P = </t>
  </si>
  <si>
    <t>Lifetime wheel</t>
  </si>
  <si>
    <t>Calculation of lifetime</t>
  </si>
  <si>
    <t>Track roller / wheel</t>
  </si>
  <si>
    <t>Ball bearing drive station</t>
  </si>
  <si>
    <t>Ball bearing tension station</t>
  </si>
  <si>
    <t>Pretension</t>
  </si>
  <si>
    <t>km</t>
  </si>
  <si>
    <t>Total load combined all directions</t>
  </si>
  <si>
    <t>Fr &gt;= Fa</t>
  </si>
  <si>
    <t>x</t>
  </si>
  <si>
    <t>y</t>
  </si>
  <si>
    <t>Fr &lt; Fa</t>
  </si>
  <si>
    <t>LFR50/5-6-2Z</t>
  </si>
  <si>
    <t>LFR 50/8-6-2Z</t>
  </si>
  <si>
    <t>LFR5302-10-2Z</t>
  </si>
  <si>
    <t>Average load factor fm</t>
  </si>
  <si>
    <t>number of cycles per minute</t>
  </si>
  <si>
    <t>Working hours per day</t>
  </si>
  <si>
    <t>Working days per year</t>
  </si>
  <si>
    <t>Duty cycle</t>
  </si>
  <si>
    <t xml:space="preserve">Lifetime </t>
  </si>
  <si>
    <t>Years</t>
  </si>
  <si>
    <t>Idle torque</t>
  </si>
  <si>
    <t>Idle torque Nm</t>
  </si>
  <si>
    <t>Single unit, single carriage</t>
  </si>
  <si>
    <t>additional carriage</t>
  </si>
  <si>
    <t>Belt weight</t>
  </si>
  <si>
    <t>kg/m</t>
  </si>
  <si>
    <t>Fx at</t>
  </si>
  <si>
    <t>constant speed</t>
  </si>
  <si>
    <r>
      <t>m x ( m/min / 2</t>
    </r>
    <r>
      <rPr>
        <sz val="11"/>
        <color theme="1"/>
        <rFont val="Calibri"/>
        <family val="2"/>
      </rPr>
      <t>π</t>
    </r>
    <r>
      <rPr>
        <sz val="12.1"/>
        <color theme="1"/>
        <rFont val="Arial"/>
        <family val="2"/>
      </rPr>
      <t xml:space="preserve"> / rpm ) ^2 =</t>
    </r>
  </si>
  <si>
    <t>kg m²</t>
  </si>
  <si>
    <t>Linear inertia from load, carries and belt:</t>
  </si>
  <si>
    <t>Pulley width</t>
  </si>
  <si>
    <t>drive mm</t>
  </si>
  <si>
    <t>Inertia drive pulley</t>
  </si>
  <si>
    <t xml:space="preserve"> J = m / 2 x R²</t>
  </si>
  <si>
    <t>Inertia tension pulley</t>
  </si>
  <si>
    <t>Total Fx  at const speed</t>
  </si>
  <si>
    <t>Total Fx during acc</t>
  </si>
  <si>
    <t>Drive torque during constant speed</t>
  </si>
  <si>
    <t>Drive torque during acceleration</t>
  </si>
  <si>
    <t>Nm and</t>
  </si>
  <si>
    <t>rpm at</t>
  </si>
  <si>
    <r>
      <t xml:space="preserve">Idle torque at </t>
    </r>
    <r>
      <rPr>
        <b/>
        <sz val="11"/>
        <color theme="1"/>
        <rFont val="Arial"/>
        <family val="2"/>
      </rPr>
      <t>no</t>
    </r>
    <r>
      <rPr>
        <sz val="11"/>
        <color theme="1"/>
        <rFont val="Arial"/>
        <family val="2"/>
      </rPr>
      <t xml:space="preserve"> load</t>
    </r>
  </si>
  <si>
    <t>Drive torque at constant speed</t>
  </si>
  <si>
    <t>Drive torque during acc</t>
  </si>
  <si>
    <t>W</t>
  </si>
  <si>
    <t>VWZ shaft / coupling</t>
  </si>
  <si>
    <t>Parallel shaft VWZ-</t>
  </si>
  <si>
    <t>Gear / Motor</t>
  </si>
  <si>
    <t>Inertia</t>
  </si>
  <si>
    <t>kgm²</t>
  </si>
  <si>
    <t>Top speed</t>
  </si>
  <si>
    <t>rpm</t>
  </si>
  <si>
    <t>Acceleration time</t>
  </si>
  <si>
    <t>nom rpm</t>
  </si>
  <si>
    <t>kW</t>
  </si>
  <si>
    <t>nom Nm</t>
  </si>
  <si>
    <t>Nm at max rpm</t>
  </si>
  <si>
    <t>Peak Nm</t>
  </si>
  <si>
    <t>Brake inertia</t>
  </si>
  <si>
    <t>Nm/A</t>
  </si>
  <si>
    <t>mVmin</t>
  </si>
  <si>
    <t>Ohm</t>
  </si>
  <si>
    <t>AKM31C</t>
  </si>
  <si>
    <t>AKM32C</t>
  </si>
  <si>
    <t>AKM33E</t>
  </si>
  <si>
    <t>AKM41C</t>
  </si>
  <si>
    <t>AKM42E</t>
  </si>
  <si>
    <t>AKM43E</t>
  </si>
  <si>
    <t>AKM44G</t>
  </si>
  <si>
    <t>AKM51E</t>
  </si>
  <si>
    <t>AKM52G</t>
  </si>
  <si>
    <t>AKM53K</t>
  </si>
  <si>
    <t>AKM54K</t>
  </si>
  <si>
    <t>AKM62K</t>
  </si>
  <si>
    <t>AKM63K</t>
  </si>
  <si>
    <t>AKM64L</t>
  </si>
  <si>
    <t>AKM65M</t>
  </si>
  <si>
    <t>Kgm2</t>
  </si>
  <si>
    <t>IEC 63  3000 rpm  0,25 kW</t>
  </si>
  <si>
    <t>IEC 63  with brake 3000 rpm  0,25 kW</t>
  </si>
  <si>
    <t>IEC 63  1500 rpm  0,18 kW</t>
  </si>
  <si>
    <t>IEC 63  with brake 1500 rpm  0,18 kW</t>
  </si>
  <si>
    <t>IEC71 3000 rpm 0,55 kW</t>
  </si>
  <si>
    <t>IEC71 with brake 3000 rpm 0,55 kW</t>
  </si>
  <si>
    <t>IEC71 1500 rpm 0,37 kW</t>
  </si>
  <si>
    <t>IEC71 with brake 1500 rpm 0,37 kW</t>
  </si>
  <si>
    <t>IEC80 3000 rpm 1,1 kW</t>
  </si>
  <si>
    <t>IEC80 with brake 3000 rpm 1,1 kW</t>
  </si>
  <si>
    <t>IEC80 1500 rpm 0,75 kW</t>
  </si>
  <si>
    <t>IEC80 with brake 1500 rpm 0,75 kW</t>
  </si>
  <si>
    <t>IEC90 3000 rpm 2,2 kW</t>
  </si>
  <si>
    <t>IEC90 with brake 3000 rpm 2,2 kW</t>
  </si>
  <si>
    <t>IEC90 1500 rpm 1,5 kW</t>
  </si>
  <si>
    <t>IEC90 with brake 1500 rpm 1,5 kW</t>
  </si>
  <si>
    <t>IEC100 3000 rpm 3 kW</t>
  </si>
  <si>
    <t>IEC100 with brake 3000 rpm 3 kW</t>
  </si>
  <si>
    <t>IEC100 1500 rpm 3 kW</t>
  </si>
  <si>
    <t>IEC100 with brake 1500 rpm 3 kW</t>
  </si>
  <si>
    <t>IEC112 3000 rpm 4 kW</t>
  </si>
  <si>
    <t>IEC112 with brake 3000 rpm 4 kW</t>
  </si>
  <si>
    <t>IEC112 1500 rpm 4 kW</t>
  </si>
  <si>
    <t>IEC112 with brake 1500 rpm 4 kW</t>
  </si>
  <si>
    <t>Hold torque</t>
  </si>
  <si>
    <t>KML061</t>
  </si>
  <si>
    <t>KML062</t>
  </si>
  <si>
    <t>KML063</t>
  </si>
  <si>
    <t>KML091</t>
  </si>
  <si>
    <t>KML092</t>
  </si>
  <si>
    <t>KML093</t>
  </si>
  <si>
    <t>-</t>
  </si>
  <si>
    <t>AC motors</t>
  </si>
  <si>
    <t>AKM servo motor</t>
  </si>
  <si>
    <t>Direct / coupling</t>
  </si>
  <si>
    <t>Gear</t>
  </si>
  <si>
    <t>GS14</t>
  </si>
  <si>
    <t>GS19</t>
  </si>
  <si>
    <t>GS24</t>
  </si>
  <si>
    <t>No motor</t>
  </si>
  <si>
    <t>AC motor</t>
  </si>
  <si>
    <t>Stepper motor</t>
  </si>
  <si>
    <t>Inertia coupling</t>
  </si>
  <si>
    <t>Inertia gear</t>
  </si>
  <si>
    <t>Inertia motor</t>
  </si>
  <si>
    <t>Customer motor</t>
  </si>
  <si>
    <t>shaft</t>
  </si>
  <si>
    <t>motor</t>
  </si>
  <si>
    <t>Motor torque during costant speed</t>
  </si>
  <si>
    <t>motor speed</t>
  </si>
  <si>
    <t>Motor torque duringacceleration</t>
  </si>
  <si>
    <t>Nm including inertia and losses in gear</t>
  </si>
  <si>
    <t>Total inertia reduced to motor shaft</t>
  </si>
  <si>
    <t>Inertia balance</t>
  </si>
  <si>
    <t>Här är lite frågetecken, eller nej?</t>
  </si>
  <si>
    <t>Required motor data</t>
  </si>
  <si>
    <t>Max speed</t>
  </si>
  <si>
    <t>Torque at constant speed</t>
  </si>
  <si>
    <t xml:space="preserve"> Torque during acceleration</t>
  </si>
  <si>
    <t>Power at constant speed</t>
  </si>
  <si>
    <t>Power during acceleration</t>
  </si>
  <si>
    <t>Supplier, torque, power, rpm etc</t>
  </si>
  <si>
    <t>Notes:</t>
  </si>
  <si>
    <t>System inertia</t>
  </si>
  <si>
    <t>kg m² (excluding gear, motor etc)</t>
  </si>
  <si>
    <t>torque</t>
  </si>
  <si>
    <t>#</t>
  </si>
  <si>
    <t>Distance carriage top to</t>
  </si>
  <si>
    <t>center</t>
  </si>
  <si>
    <t>wheeles</t>
  </si>
  <si>
    <t>Guide for selection of fm factor</t>
  </si>
  <si>
    <t>fm = 1,0 ;The same load in both directions</t>
  </si>
  <si>
    <t>fm = 0,89 ;Load forward, 75% load back</t>
  </si>
  <si>
    <t>fm = 0,81 ;Load forward, 50% load back</t>
  </si>
  <si>
    <t>fm = 0,8 ;Load forward, no load back</t>
  </si>
  <si>
    <t>fm = 0,63 ;Load 50% of the stroke forward and no load back</t>
  </si>
  <si>
    <t>fm = 0,48 ; Full load 10% of the stroke forward and 20% rest of cycle</t>
  </si>
  <si>
    <t>fm = 1,0 ; The same load in both directions</t>
  </si>
  <si>
    <t>fm = 0,89 ; Load forward, 75% load back</t>
  </si>
  <si>
    <t>fm = 0,81 ; Load forward, 50% load back</t>
  </si>
  <si>
    <t>fm = 0,8 ; Load forward, no load back</t>
  </si>
  <si>
    <t>ABS</t>
  </si>
  <si>
    <t>Glossary</t>
  </si>
  <si>
    <t>This is the max theoretical stroke of the unit.</t>
  </si>
  <si>
    <t>Please note that it is important to stop the</t>
  </si>
  <si>
    <t xml:space="preserve"> movement before reaching end of stroke.</t>
  </si>
  <si>
    <t>This is the max speed used during the stroke</t>
  </si>
  <si>
    <t>Rate of speed change going from a lower to a higher speed</t>
  </si>
  <si>
    <r>
      <t>Typically meassured in m/s</t>
    </r>
    <r>
      <rPr>
        <vertAlign val="superscript"/>
        <sz val="10"/>
        <rFont val="Arial"/>
        <family val="2"/>
      </rPr>
      <t>2</t>
    </r>
  </si>
  <si>
    <t>Force / Mass</t>
  </si>
  <si>
    <t>Example: when you push a box on the floor, you are using a force.</t>
  </si>
  <si>
    <t>Mass is what you normally call "weight"</t>
  </si>
  <si>
    <t>The friction between the rolls and the floor is the force at constant speed</t>
  </si>
  <si>
    <t>When you accelarate the box you will need a bigger force but this will</t>
  </si>
  <si>
    <t xml:space="preserve"> this software take care of.</t>
  </si>
  <si>
    <t>Force</t>
  </si>
  <si>
    <t>If you instead lift the box, you need a force</t>
  </si>
  <si>
    <t>doing that but don't forget that you are also</t>
  </si>
  <si>
    <t>moving a mass.</t>
  </si>
  <si>
    <t>Both force and mass must be inserted</t>
  </si>
  <si>
    <t>in the calculation.</t>
  </si>
  <si>
    <t>Example: When you push a car, the mass is about 1000 kg but</t>
  </si>
  <si>
    <t>the force is perhaps just 200 N.</t>
  </si>
  <si>
    <t>When you lift the same car, the mass is still 1000 kg but the force is about 10 000 N</t>
  </si>
  <si>
    <t>Compressing a spring requires a force but the mass is close to zero.</t>
  </si>
  <si>
    <t>Similar examples are punching holes, extruding, pumping and locking clamps.</t>
  </si>
  <si>
    <t xml:space="preserve"> load factor fm</t>
  </si>
  <si>
    <t xml:space="preserve">   Very often the force to the unit is not the same all the time during the stroke.</t>
  </si>
  <si>
    <t>If the load is lower during some part, this is positive for the life time of ball screw</t>
  </si>
  <si>
    <t>and ball bearings. The requested max motor power will still be the same.</t>
  </si>
  <si>
    <t>This can be calculated from formulas normally found in ball bearing catalogues.</t>
  </si>
  <si>
    <t xml:space="preserve"> are not connected with or caused by "Total mass to move"</t>
  </si>
  <si>
    <t>2015 02 03  JHj       Release 2</t>
  </si>
  <si>
    <t xml:space="preserve"> Please note:</t>
  </si>
  <si>
    <t xml:space="preserve"> Fx, Fy, Fz, Mx, My and Mz are external forces and torques and </t>
  </si>
  <si>
    <t xml:space="preserve"> Fx, Fy, Fz, Mx, My and Mz are external forces and torques and  are not connected with or caused by "Total mass to move"</t>
  </si>
  <si>
    <t xml:space="preserve"> Forces and torques towards the carriage caused by the weight of mass and accelaration of the mass are</t>
  </si>
  <si>
    <t xml:space="preserve"> taken care of by the calculations. The orientation of the linear unit and the location of the mass are important for correct answer.</t>
  </si>
  <si>
    <r>
      <t xml:space="preserve"> If the mass is carried by external guides or by the carriage/carriages, select correct </t>
    </r>
    <r>
      <rPr>
        <b/>
        <sz val="11"/>
        <color theme="1"/>
        <rFont val="Calibri"/>
        <family val="2"/>
        <scheme val="minor"/>
      </rPr>
      <t xml:space="preserve"> No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Yes</t>
    </r>
  </si>
  <si>
    <t>Calculations at a unit with two carraiges, two units with each one carriage or two units with each two carriages are made as if the carriages are connected with a solid block.</t>
  </si>
  <si>
    <t>connecing block</t>
  </si>
  <si>
    <t>One unit</t>
  </si>
  <si>
    <t>Two units in parallel with each one carriage</t>
  </si>
  <si>
    <t>Two units in parallel with each two carriages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</si>
</sst>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&quot;kr&quot;_-;\-* #,##0.00\ &quot;kr&quot;_-;_-* &quot;-&quot;??\ &quot;kr&quot;_-;_-@_-"/>
    <numFmt numFmtId="165" formatCode="0.0"/>
    <numFmt numFmtId="166" formatCode="0.000"/>
    <numFmt numFmtId="167" formatCode="#,##0.0"/>
    <numFmt numFmtId="168" formatCode="#,##0.000000"/>
    <numFmt numFmtId="169" formatCode="0.000000"/>
    <numFmt numFmtId="170" formatCode="#,##0.000"/>
    <numFmt numFmtId="171" formatCode="0.0000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i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0070C0"/>
      <name val="Arial"/>
      <family val="2"/>
    </font>
    <font>
      <vertAlign val="subscript"/>
      <sz val="11"/>
      <color theme="1"/>
      <name val="Arial"/>
      <family val="2"/>
    </font>
    <font>
      <sz val="12"/>
      <name val="Arial"/>
      <family val="2"/>
    </font>
    <font>
      <b/>
      <i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2.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70C0"/>
      <name val="Arial"/>
      <family val="2"/>
    </font>
    <font>
      <b/>
      <u/>
      <sz val="14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</cellStyleXfs>
  <cellXfs count="253">
    <xf numFmtId="0" fontId="0" fillId="0" borderId="0" xfId="0"/>
    <xf numFmtId="0" fontId="2" fillId="0" borderId="0" xfId="1" applyFont="1" applyFill="1" applyBorder="1" applyProtection="1">
      <protection hidden="1"/>
    </xf>
    <xf numFmtId="0" fontId="3" fillId="0" borderId="0" xfId="1" applyFont="1" applyProtection="1">
      <protection hidden="1"/>
    </xf>
    <xf numFmtId="0" fontId="4" fillId="0" borderId="0" xfId="1" applyFont="1" applyProtection="1">
      <protection hidden="1"/>
    </xf>
    <xf numFmtId="0" fontId="5" fillId="0" borderId="0" xfId="1" applyFont="1" applyAlignment="1" applyProtection="1">
      <alignment horizontal="center" wrapText="1"/>
      <protection hidden="1"/>
    </xf>
    <xf numFmtId="0" fontId="3" fillId="0" borderId="0" xfId="0" applyFont="1" applyProtection="1">
      <protection hidden="1"/>
    </xf>
    <xf numFmtId="0" fontId="6" fillId="0" borderId="0" xfId="1" applyFont="1" applyFill="1" applyBorder="1" applyProtection="1">
      <protection hidden="1"/>
    </xf>
    <xf numFmtId="0" fontId="6" fillId="0" borderId="0" xfId="1" applyFont="1" applyAlignment="1" applyProtection="1">
      <alignment horizontal="right"/>
      <protection hidden="1"/>
    </xf>
    <xf numFmtId="0" fontId="3" fillId="0" borderId="0" xfId="1" applyFont="1" applyFill="1" applyProtection="1">
      <protection hidden="1"/>
    </xf>
    <xf numFmtId="14" fontId="5" fillId="0" borderId="0" xfId="1" applyNumberFormat="1" applyFont="1" applyAlignment="1" applyProtection="1">
      <alignment horizontal="right"/>
      <protection hidden="1"/>
    </xf>
    <xf numFmtId="0" fontId="3" fillId="0" borderId="0" xfId="1" applyFont="1" applyProtection="1">
      <protection locked="0" hidden="1"/>
    </xf>
    <xf numFmtId="0" fontId="3" fillId="0" borderId="0" xfId="0" applyFont="1" applyProtection="1">
      <protection locked="0" hidden="1"/>
    </xf>
    <xf numFmtId="20" fontId="5" fillId="0" borderId="0" xfId="1" applyNumberFormat="1" applyFont="1" applyAlignment="1" applyProtection="1">
      <alignment horizontal="right"/>
      <protection locked="0" hidden="1"/>
    </xf>
    <xf numFmtId="0" fontId="3" fillId="0" borderId="0" xfId="0" applyFont="1" applyProtection="1">
      <protection locked="0"/>
    </xf>
    <xf numFmtId="0" fontId="3" fillId="0" borderId="0" xfId="0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Protection="1">
      <protection hidden="1"/>
    </xf>
    <xf numFmtId="0" fontId="11" fillId="0" borderId="0" xfId="0" applyFont="1" applyProtection="1">
      <protection locked="0" hidden="1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Protection="1">
      <protection locked="0"/>
    </xf>
    <xf numFmtId="0" fontId="11" fillId="0" borderId="0" xfId="0" applyFont="1" applyFill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13" fillId="0" borderId="0" xfId="0" applyFont="1"/>
    <xf numFmtId="0" fontId="14" fillId="0" borderId="0" xfId="0" applyFont="1" applyFill="1" applyBorder="1" applyProtection="1">
      <protection hidden="1"/>
    </xf>
    <xf numFmtId="0" fontId="14" fillId="0" borderId="0" xfId="0" applyFont="1" applyAlignment="1" applyProtection="1">
      <alignment horizontal="right"/>
      <protection hidden="1"/>
    </xf>
    <xf numFmtId="0" fontId="15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Protection="1">
      <protection hidden="1"/>
    </xf>
    <xf numFmtId="0" fontId="16" fillId="0" borderId="0" xfId="0" applyFont="1" applyFill="1" applyAlignment="1" applyProtection="1">
      <alignment horizontal="left"/>
      <protection hidden="1"/>
    </xf>
    <xf numFmtId="0" fontId="14" fillId="0" borderId="0" xfId="0" applyFont="1" applyFill="1" applyProtection="1">
      <protection hidden="1"/>
    </xf>
    <xf numFmtId="0" fontId="14" fillId="0" borderId="0" xfId="0" quotePrefix="1" applyFont="1" applyAlignment="1" applyProtection="1">
      <alignment horizontal="left"/>
      <protection locked="0"/>
    </xf>
    <xf numFmtId="0" fontId="16" fillId="0" borderId="0" xfId="0" applyFont="1" applyFill="1" applyProtection="1">
      <protection hidden="1"/>
    </xf>
    <xf numFmtId="0" fontId="14" fillId="0" borderId="0" xfId="0" quotePrefix="1" applyFont="1" applyAlignment="1" applyProtection="1">
      <alignment horizontal="right"/>
      <protection hidden="1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2" borderId="3" xfId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hidden="1"/>
    </xf>
    <xf numFmtId="0" fontId="16" fillId="3" borderId="0" xfId="0" applyFont="1" applyFill="1" applyAlignment="1" applyProtection="1">
      <alignment horizontal="center"/>
      <protection hidden="1"/>
    </xf>
    <xf numFmtId="0" fontId="16" fillId="0" borderId="0" xfId="0" applyFont="1" applyAlignment="1" applyProtection="1">
      <alignment horizontal="right" vertical="top"/>
      <protection hidden="1"/>
    </xf>
    <xf numFmtId="0" fontId="16" fillId="0" borderId="0" xfId="0" applyFont="1" applyAlignment="1" applyProtection="1">
      <alignment horizontal="center" vertical="top"/>
      <protection hidden="1"/>
    </xf>
    <xf numFmtId="0" fontId="16" fillId="0" borderId="0" xfId="0" applyFont="1" applyAlignment="1" applyProtection="1">
      <alignment horizontal="left" vertical="top"/>
      <protection hidden="1"/>
    </xf>
    <xf numFmtId="0" fontId="18" fillId="2" borderId="3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165" fontId="16" fillId="3" borderId="0" xfId="0" applyNumberFormat="1" applyFont="1" applyFill="1" applyAlignment="1" applyProtection="1">
      <alignment horizontal="center"/>
      <protection hidden="1"/>
    </xf>
    <xf numFmtId="0" fontId="14" fillId="0" borderId="0" xfId="0" quotePrefix="1" applyFont="1" applyAlignment="1" applyProtection="1">
      <alignment horizontal="left"/>
      <protection hidden="1"/>
    </xf>
    <xf numFmtId="0" fontId="14" fillId="0" borderId="0" xfId="1" applyFont="1" applyProtection="1">
      <protection locked="0" hidden="1"/>
    </xf>
    <xf numFmtId="0" fontId="14" fillId="0" borderId="0" xfId="1" applyFont="1" applyAlignment="1" applyProtection="1">
      <alignment horizontal="right"/>
      <protection hidden="1"/>
    </xf>
    <xf numFmtId="0" fontId="21" fillId="0" borderId="0" xfId="0" applyFont="1" applyProtection="1">
      <protection hidden="1"/>
    </xf>
    <xf numFmtId="0" fontId="21" fillId="0" borderId="0" xfId="0" applyFont="1"/>
    <xf numFmtId="0" fontId="11" fillId="0" borderId="0" xfId="0" applyFont="1" applyAlignment="1">
      <alignment horizontal="right"/>
    </xf>
    <xf numFmtId="0" fontId="10" fillId="0" borderId="0" xfId="0" applyFont="1"/>
    <xf numFmtId="0" fontId="7" fillId="4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7" fillId="4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1" fontId="9" fillId="5" borderId="6" xfId="0" applyNumberFormat="1" applyFont="1" applyFill="1" applyBorder="1" applyAlignment="1">
      <alignment horizontal="center"/>
    </xf>
    <xf numFmtId="166" fontId="9" fillId="5" borderId="6" xfId="0" applyNumberFormat="1" applyFont="1" applyFill="1" applyBorder="1" applyAlignment="1">
      <alignment horizontal="center"/>
    </xf>
    <xf numFmtId="0" fontId="9" fillId="5" borderId="6" xfId="0" applyNumberFormat="1" applyFont="1" applyFill="1" applyBorder="1" applyAlignment="1">
      <alignment horizontal="center"/>
    </xf>
    <xf numFmtId="166" fontId="0" fillId="0" borderId="0" xfId="0" applyNumberFormat="1"/>
    <xf numFmtId="0" fontId="9" fillId="0" borderId="0" xfId="0" applyFont="1"/>
    <xf numFmtId="166" fontId="9" fillId="5" borderId="8" xfId="0" applyNumberFormat="1" applyFont="1" applyFill="1" applyBorder="1" applyAlignment="1">
      <alignment horizontal="center"/>
    </xf>
    <xf numFmtId="0" fontId="0" fillId="0" borderId="9" xfId="0" applyBorder="1"/>
    <xf numFmtId="2" fontId="9" fillId="0" borderId="0" xfId="0" applyNumberFormat="1" applyFont="1" applyAlignment="1">
      <alignment horizontal="center"/>
    </xf>
    <xf numFmtId="2" fontId="21" fillId="0" borderId="0" xfId="0" applyNumberFormat="1" applyFont="1"/>
    <xf numFmtId="2" fontId="21" fillId="0" borderId="0" xfId="0" applyNumberFormat="1" applyFont="1" applyAlignment="1">
      <alignment horizontal="center"/>
    </xf>
    <xf numFmtId="2" fontId="16" fillId="3" borderId="0" xfId="0" applyNumberFormat="1" applyFont="1" applyFill="1" applyAlignment="1" applyProtection="1">
      <alignment horizontal="center"/>
      <protection hidden="1"/>
    </xf>
    <xf numFmtId="1" fontId="11" fillId="0" borderId="0" xfId="0" applyNumberFormat="1" applyFont="1" applyAlignment="1">
      <alignment horizontal="center"/>
    </xf>
    <xf numFmtId="0" fontId="25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/>
    <xf numFmtId="0" fontId="24" fillId="0" borderId="4" xfId="0" applyFont="1" applyFill="1" applyBorder="1"/>
    <xf numFmtId="0" fontId="11" fillId="0" borderId="10" xfId="0" applyFont="1" applyFill="1" applyBorder="1"/>
    <xf numFmtId="0" fontId="11" fillId="0" borderId="6" xfId="0" applyFont="1" applyFill="1" applyBorder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6" xfId="0" applyFont="1" applyFill="1" applyBorder="1"/>
    <xf numFmtId="0" fontId="24" fillId="0" borderId="0" xfId="0" applyFont="1" applyFill="1" applyBorder="1"/>
    <xf numFmtId="0" fontId="11" fillId="0" borderId="6" xfId="0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9" fontId="11" fillId="0" borderId="0" xfId="2" applyFont="1" applyFill="1" applyBorder="1" applyAlignment="1">
      <alignment horizontal="center"/>
    </xf>
    <xf numFmtId="0" fontId="13" fillId="0" borderId="0" xfId="0" applyFont="1" applyFill="1" applyBorder="1"/>
    <xf numFmtId="165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9" fontId="11" fillId="0" borderId="0" xfId="0" applyNumberFormat="1" applyFont="1" applyFill="1" applyBorder="1"/>
    <xf numFmtId="0" fontId="11" fillId="0" borderId="8" xfId="0" applyFont="1" applyFill="1" applyBorder="1"/>
    <xf numFmtId="0" fontId="11" fillId="0" borderId="1" xfId="0" applyFont="1" applyFill="1" applyBorder="1"/>
    <xf numFmtId="165" fontId="11" fillId="0" borderId="1" xfId="0" applyNumberFormat="1" applyFont="1" applyFill="1" applyBorder="1" applyAlignment="1">
      <alignment horizontal="center"/>
    </xf>
    <xf numFmtId="0" fontId="24" fillId="0" borderId="4" xfId="0" applyFont="1" applyBorder="1"/>
    <xf numFmtId="0" fontId="11" fillId="0" borderId="10" xfId="0" applyFont="1" applyBorder="1"/>
    <xf numFmtId="0" fontId="11" fillId="0" borderId="6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6" xfId="0" applyFont="1" applyBorder="1"/>
    <xf numFmtId="0" fontId="24" fillId="0" borderId="0" xfId="0" applyFont="1" applyBorder="1"/>
    <xf numFmtId="0" fontId="11" fillId="0" borderId="6" xfId="0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9" fontId="11" fillId="0" borderId="0" xfId="2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1" fillId="0" borderId="0" xfId="0" applyNumberFormat="1" applyFont="1" applyBorder="1"/>
    <xf numFmtId="0" fontId="11" fillId="0" borderId="8" xfId="0" applyFont="1" applyBorder="1"/>
    <xf numFmtId="0" fontId="11" fillId="0" borderId="1" xfId="0" applyFont="1" applyBorder="1"/>
    <xf numFmtId="165" fontId="11" fillId="0" borderId="1" xfId="0" applyNumberFormat="1" applyFont="1" applyBorder="1" applyAlignment="1">
      <alignment horizontal="center"/>
    </xf>
    <xf numFmtId="0" fontId="11" fillId="0" borderId="9" xfId="0" applyFont="1" applyBorder="1"/>
    <xf numFmtId="1" fontId="11" fillId="0" borderId="0" xfId="0" applyNumberFormat="1" applyFont="1"/>
    <xf numFmtId="9" fontId="11" fillId="0" borderId="0" xfId="0" applyNumberFormat="1" applyFont="1"/>
    <xf numFmtId="0" fontId="21" fillId="0" borderId="0" xfId="0" applyFont="1" applyFill="1" applyProtection="1">
      <protection hidden="1"/>
    </xf>
    <xf numFmtId="0" fontId="16" fillId="0" borderId="0" xfId="0" applyFont="1" applyFill="1" applyAlignment="1" applyProtection="1">
      <alignment horizontal="right" vertical="top"/>
      <protection hidden="1"/>
    </xf>
    <xf numFmtId="0" fontId="21" fillId="0" borderId="0" xfId="0" applyFont="1" applyFill="1"/>
    <xf numFmtId="0" fontId="11" fillId="0" borderId="0" xfId="0" applyFont="1" applyFill="1" applyProtection="1">
      <protection hidden="1"/>
    </xf>
    <xf numFmtId="0" fontId="24" fillId="0" borderId="0" xfId="0" applyFont="1"/>
    <xf numFmtId="0" fontId="11" fillId="0" borderId="0" xfId="0" applyFont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9" fontId="11" fillId="0" borderId="0" xfId="2" applyFont="1"/>
    <xf numFmtId="0" fontId="11" fillId="0" borderId="0" xfId="0" applyFont="1" applyAlignment="1">
      <alignment horizontal="center"/>
    </xf>
    <xf numFmtId="0" fontId="11" fillId="6" borderId="0" xfId="0" applyFont="1" applyFill="1"/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165" fontId="11" fillId="0" borderId="0" xfId="0" applyNumberFormat="1" applyFont="1"/>
    <xf numFmtId="165" fontId="13" fillId="0" borderId="0" xfId="0" applyNumberFormat="1" applyFont="1"/>
    <xf numFmtId="0" fontId="26" fillId="0" borderId="0" xfId="0" applyFont="1" applyBorder="1" applyAlignment="1">
      <alignment horizontal="right"/>
    </xf>
    <xf numFmtId="0" fontId="26" fillId="0" borderId="0" xfId="0" applyFont="1" applyBorder="1"/>
    <xf numFmtId="0" fontId="11" fillId="0" borderId="4" xfId="0" applyFont="1" applyBorder="1" applyAlignment="1">
      <alignment horizontal="right"/>
    </xf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11" xfId="0" applyFont="1" applyBorder="1"/>
    <xf numFmtId="165" fontId="11" fillId="0" borderId="0" xfId="2" applyNumberFormat="1" applyFont="1"/>
    <xf numFmtId="0" fontId="11" fillId="0" borderId="0" xfId="0" applyFont="1" applyFill="1" applyAlignment="1">
      <alignment horizontal="center"/>
    </xf>
    <xf numFmtId="3" fontId="16" fillId="3" borderId="0" xfId="0" applyNumberFormat="1" applyFont="1" applyFill="1" applyAlignment="1" applyProtection="1">
      <alignment horizontal="center"/>
      <protection hidden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" fontId="11" fillId="0" borderId="0" xfId="0" applyNumberFormat="1" applyFont="1" applyFill="1"/>
    <xf numFmtId="9" fontId="16" fillId="3" borderId="0" xfId="2" applyFont="1" applyFill="1" applyAlignment="1" applyProtection="1">
      <alignment horizontal="center"/>
      <protection hidden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16" fillId="3" borderId="0" xfId="0" applyNumberFormat="1" applyFont="1" applyFill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24" fillId="0" borderId="0" xfId="0" applyFont="1" applyFill="1"/>
    <xf numFmtId="169" fontId="11" fillId="0" borderId="0" xfId="0" applyNumberFormat="1" applyFont="1"/>
    <xf numFmtId="0" fontId="0" fillId="0" borderId="0" xfId="0" applyFill="1" applyBorder="1"/>
    <xf numFmtId="4" fontId="16" fillId="3" borderId="0" xfId="0" applyNumberFormat="1" applyFont="1" applyFill="1" applyAlignment="1" applyProtection="1">
      <alignment horizontal="center"/>
      <protection hidden="1"/>
    </xf>
    <xf numFmtId="0" fontId="21" fillId="7" borderId="0" xfId="0" applyFont="1" applyFill="1" applyAlignment="1">
      <alignment horizontal="center"/>
    </xf>
    <xf numFmtId="2" fontId="21" fillId="7" borderId="0" xfId="0" applyNumberFormat="1" applyFont="1" applyFill="1" applyAlignment="1">
      <alignment horizontal="center"/>
    </xf>
    <xf numFmtId="3" fontId="21" fillId="7" borderId="0" xfId="0" applyNumberFormat="1" applyFont="1" applyFill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 applyProtection="1">
      <alignment horizontal="center"/>
      <protection locked="0"/>
    </xf>
    <xf numFmtId="1" fontId="7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Border="1"/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9" fontId="0" fillId="0" borderId="0" xfId="0" applyNumberFormat="1" applyAlignment="1" applyProtection="1">
      <alignment horizontal="center"/>
      <protection locked="0"/>
    </xf>
    <xf numFmtId="0" fontId="3" fillId="0" borderId="0" xfId="4" applyProtection="1">
      <protection locked="0"/>
    </xf>
    <xf numFmtId="0" fontId="3" fillId="0" borderId="0" xfId="4" applyAlignment="1" applyProtection="1">
      <alignment horizontal="center"/>
      <protection locked="0"/>
    </xf>
    <xf numFmtId="0" fontId="3" fillId="0" borderId="0" xfId="4" applyFont="1" applyProtection="1">
      <protection locked="0"/>
    </xf>
    <xf numFmtId="165" fontId="3" fillId="0" borderId="0" xfId="4" applyNumberFormat="1" applyAlignment="1" applyProtection="1">
      <alignment horizontal="center"/>
      <protection locked="0"/>
    </xf>
    <xf numFmtId="171" fontId="3" fillId="0" borderId="0" xfId="4" applyNumberFormat="1" applyAlignment="1" applyProtection="1">
      <alignment horizontal="center"/>
      <protection locked="0"/>
    </xf>
    <xf numFmtId="0" fontId="3" fillId="0" borderId="0" xfId="4" applyFont="1" applyAlignment="1" applyProtection="1">
      <alignment horizontal="center"/>
      <protection locked="0"/>
    </xf>
    <xf numFmtId="0" fontId="3" fillId="0" borderId="0" xfId="4" applyFont="1" applyFill="1" applyProtection="1">
      <protection locked="0"/>
    </xf>
    <xf numFmtId="0" fontId="3" fillId="0" borderId="0" xfId="4" applyFill="1" applyProtection="1">
      <protection locked="0"/>
    </xf>
    <xf numFmtId="0" fontId="3" fillId="0" borderId="0" xfId="4" applyFill="1" applyAlignment="1" applyProtection="1">
      <alignment horizontal="center"/>
      <protection locked="0"/>
    </xf>
    <xf numFmtId="0" fontId="3" fillId="0" borderId="0" xfId="4" applyAlignment="1" applyProtection="1">
      <alignment horizontal="right"/>
      <protection locked="0"/>
    </xf>
    <xf numFmtId="169" fontId="3" fillId="0" borderId="0" xfId="4" applyNumberFormat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9" fontId="18" fillId="2" borderId="0" xfId="0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/>
    <xf numFmtId="0" fontId="0" fillId="0" borderId="0" xfId="0" applyFont="1"/>
    <xf numFmtId="0" fontId="16" fillId="3" borderId="0" xfId="0" applyNumberFormat="1" applyFont="1" applyFill="1" applyAlignment="1" applyProtection="1">
      <alignment horizontal="center"/>
      <protection hidden="1"/>
    </xf>
    <xf numFmtId="0" fontId="34" fillId="0" borderId="0" xfId="0" applyFont="1" applyProtection="1">
      <protection locked="0"/>
    </xf>
    <xf numFmtId="0" fontId="24" fillId="0" borderId="0" xfId="0" applyFont="1" applyAlignment="1">
      <alignment horizontal="right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7" fillId="4" borderId="0" xfId="0" applyNumberFormat="1" applyFont="1" applyFill="1" applyBorder="1" applyAlignment="1" applyProtection="1">
      <alignment horizontal="center"/>
      <protection locked="0"/>
    </xf>
    <xf numFmtId="1" fontId="7" fillId="4" borderId="0" xfId="0" applyNumberFormat="1" applyFont="1" applyFill="1" applyBorder="1" applyAlignment="1" applyProtection="1">
      <alignment horizontal="center"/>
      <protection locked="0"/>
    </xf>
    <xf numFmtId="170" fontId="9" fillId="5" borderId="0" xfId="0" applyNumberFormat="1" applyFont="1" applyFill="1" applyBorder="1" applyAlignment="1">
      <alignment horizontal="center"/>
    </xf>
    <xf numFmtId="170" fontId="11" fillId="0" borderId="0" xfId="0" applyNumberFormat="1" applyFont="1"/>
    <xf numFmtId="3" fontId="35" fillId="0" borderId="0" xfId="0" applyNumberFormat="1" applyFont="1" applyFill="1" applyAlignment="1" applyProtection="1">
      <alignment horizontal="center"/>
      <protection hidden="1"/>
    </xf>
    <xf numFmtId="0" fontId="25" fillId="0" borderId="0" xfId="0" applyFont="1" applyAlignment="1">
      <alignment horizontal="center"/>
    </xf>
    <xf numFmtId="0" fontId="7" fillId="8" borderId="0" xfId="0" applyNumberFormat="1" applyFont="1" applyFill="1" applyBorder="1" applyAlignment="1" applyProtection="1">
      <alignment horizontal="center"/>
      <protection locked="0"/>
    </xf>
    <xf numFmtId="0" fontId="36" fillId="8" borderId="0" xfId="0" applyFont="1" applyFill="1" applyAlignment="1">
      <alignment horizontal="center"/>
    </xf>
    <xf numFmtId="0" fontId="11" fillId="8" borderId="0" xfId="0" applyFont="1" applyFill="1" applyProtection="1">
      <protection locked="0"/>
    </xf>
    <xf numFmtId="0" fontId="11" fillId="8" borderId="0" xfId="0" applyFont="1" applyFill="1" applyBorder="1" applyProtection="1">
      <protection locked="0"/>
    </xf>
    <xf numFmtId="0" fontId="0" fillId="8" borderId="0" xfId="0" applyFill="1" applyBorder="1" applyProtection="1">
      <protection locked="0"/>
    </xf>
    <xf numFmtId="168" fontId="9" fillId="8" borderId="0" xfId="0" applyNumberFormat="1" applyFont="1" applyFill="1" applyBorder="1" applyAlignment="1" applyProtection="1">
      <alignment horizontal="center"/>
      <protection locked="0"/>
    </xf>
    <xf numFmtId="0" fontId="21" fillId="7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165" fontId="11" fillId="0" borderId="0" xfId="0" applyNumberFormat="1" applyFont="1" applyFill="1"/>
    <xf numFmtId="0" fontId="14" fillId="0" borderId="0" xfId="1" applyFont="1" applyFill="1" applyBorder="1" applyProtection="1"/>
    <xf numFmtId="0" fontId="17" fillId="0" borderId="0" xfId="0" applyFont="1" applyFill="1" applyBorder="1" applyAlignment="1" applyProtection="1">
      <alignment horizontal="left"/>
    </xf>
    <xf numFmtId="0" fontId="14" fillId="0" borderId="0" xfId="0" quotePrefix="1" applyFont="1" applyAlignment="1" applyProtection="1">
      <alignment horizontal="left"/>
    </xf>
    <xf numFmtId="0" fontId="14" fillId="0" borderId="0" xfId="0" applyFont="1" applyProtection="1"/>
    <xf numFmtId="0" fontId="11" fillId="0" borderId="0" xfId="0" applyFont="1" applyProtection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7" fontId="11" fillId="0" borderId="0" xfId="0" applyNumberFormat="1" applyFont="1"/>
    <xf numFmtId="0" fontId="18" fillId="0" borderId="3" xfId="0" applyFont="1" applyFill="1" applyBorder="1" applyAlignment="1" applyProtection="1">
      <alignment horizontal="center"/>
      <protection locked="0"/>
    </xf>
    <xf numFmtId="0" fontId="28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>
      <alignment horizontal="right"/>
    </xf>
    <xf numFmtId="0" fontId="28" fillId="0" borderId="0" xfId="0" applyNumberFormat="1" applyFont="1" applyFill="1" applyBorder="1" applyAlignment="1" applyProtection="1"/>
    <xf numFmtId="0" fontId="28" fillId="0" borderId="0" xfId="0" applyFont="1" applyFill="1" applyBorder="1"/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left"/>
    </xf>
    <xf numFmtId="0" fontId="29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/>
    </xf>
    <xf numFmtId="0" fontId="28" fillId="0" borderId="0" xfId="0" applyFont="1" applyFill="1" applyBorder="1" applyAlignment="1">
      <alignment horizontal="center"/>
    </xf>
    <xf numFmtId="0" fontId="3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38" fillId="0" borderId="0" xfId="0" applyFont="1" applyAlignment="1">
      <alignment wrapText="1"/>
    </xf>
    <xf numFmtId="0" fontId="11" fillId="9" borderId="13" xfId="0" applyFont="1" applyFill="1" applyBorder="1"/>
    <xf numFmtId="0" fontId="11" fillId="9" borderId="14" xfId="0" applyFont="1" applyFill="1" applyBorder="1"/>
    <xf numFmtId="0" fontId="11" fillId="9" borderId="15" xfId="0" applyFont="1" applyFill="1" applyBorder="1"/>
    <xf numFmtId="0" fontId="24" fillId="9" borderId="16" xfId="0" applyFont="1" applyFill="1" applyBorder="1"/>
    <xf numFmtId="0" fontId="11" fillId="9" borderId="0" xfId="0" applyFont="1" applyFill="1" applyBorder="1"/>
    <xf numFmtId="0" fontId="11" fillId="9" borderId="17" xfId="0" applyFont="1" applyFill="1" applyBorder="1"/>
    <xf numFmtId="0" fontId="11" fillId="9" borderId="16" xfId="0" applyFont="1" applyFill="1" applyBorder="1"/>
    <xf numFmtId="0" fontId="11" fillId="9" borderId="18" xfId="0" applyFont="1" applyFill="1" applyBorder="1"/>
    <xf numFmtId="0" fontId="11" fillId="9" borderId="19" xfId="0" applyFont="1" applyFill="1" applyBorder="1"/>
    <xf numFmtId="0" fontId="11" fillId="9" borderId="20" xfId="0" applyFont="1" applyFill="1" applyBorder="1"/>
    <xf numFmtId="0" fontId="24" fillId="0" borderId="16" xfId="0" applyFont="1" applyFill="1" applyBorder="1"/>
    <xf numFmtId="0" fontId="11" fillId="0" borderId="16" xfId="0" applyFont="1" applyFill="1" applyBorder="1"/>
    <xf numFmtId="0" fontId="11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11" fillId="0" borderId="3" xfId="3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3" applyFont="1" applyAlignment="1">
      <alignment horizontal="center"/>
    </xf>
    <xf numFmtId="0" fontId="17" fillId="2" borderId="1" xfId="1" applyFont="1" applyFill="1" applyBorder="1" applyAlignment="1" applyProtection="1">
      <alignment horizontal="left"/>
      <protection locked="0"/>
    </xf>
    <xf numFmtId="0" fontId="17" fillId="2" borderId="2" xfId="1" applyFont="1" applyFill="1" applyBorder="1" applyAlignment="1" applyProtection="1">
      <alignment horizontal="left"/>
      <protection locked="0"/>
    </xf>
    <xf numFmtId="14" fontId="17" fillId="2" borderId="2" xfId="1" applyNumberFormat="1" applyFont="1" applyFill="1" applyBorder="1" applyAlignment="1" applyProtection="1">
      <alignment horizontal="left"/>
      <protection locked="0"/>
    </xf>
  </cellXfs>
  <cellStyles count="5">
    <cellStyle name="Currency" xfId="3" builtinId="4"/>
    <cellStyle name="Normal" xfId="0" builtinId="0"/>
    <cellStyle name="Normal_Drive" xfId="1"/>
    <cellStyle name="Normal_M55_100" xfId="4"/>
    <cellStyle name="Percent" xfId="2" builtinId="5"/>
  </cellStyles>
  <dxfs count="10">
    <dxf>
      <fill>
        <patternFill>
          <bgColor indexed="41"/>
        </patternFill>
      </fill>
    </dxf>
    <dxf>
      <font>
        <b/>
        <i val="0"/>
        <color rgb="FFFF0000"/>
      </font>
      <fill>
        <patternFill>
          <bgColor rgb="FF99FFCC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/>
      </font>
      <fill>
        <patternFill patternType="none">
          <bgColor auto="1"/>
        </patternFill>
      </fill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6CCFF"/>
      <color rgb="FFCCFFFF"/>
      <color rgb="FFFFFF66"/>
      <color rgb="FFFFFF99"/>
      <color rgb="FF99FFCC"/>
      <color rgb="FFCC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Move profile</a:t>
            </a:r>
          </a:p>
        </c:rich>
      </c:tx>
      <c:layout>
        <c:manualLayout>
          <c:xMode val="edge"/>
          <c:yMode val="edge"/>
          <c:x val="0.4202338715442670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491219042484"/>
          <c:y val="0.1388893028153623"/>
          <c:w val="0.82490350736364926"/>
          <c:h val="0.71528020317994245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Blad2!$K$11:$N$11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500</c:v>
                </c:pt>
                <c:pt idx="2">
                  <c:v>1000</c:v>
                </c:pt>
                <c:pt idx="3" formatCode="General">
                  <c:v>1500</c:v>
                </c:pt>
              </c:numCache>
            </c:numRef>
          </c:xVal>
          <c:yVal>
            <c:numRef>
              <c:f>Blad2!$K$12:$N$12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770536"/>
        <c:axId val="544770928"/>
      </c:scatterChart>
      <c:valAx>
        <c:axId val="544770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Distance mm</a:t>
                </a:r>
              </a:p>
            </c:rich>
          </c:tx>
          <c:layout>
            <c:manualLayout>
              <c:xMode val="edge"/>
              <c:yMode val="edge"/>
              <c:x val="0.45136227621352776"/>
              <c:y val="0.91319736074657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770928"/>
        <c:crosses val="autoZero"/>
        <c:crossBetween val="midCat"/>
      </c:valAx>
      <c:valAx>
        <c:axId val="54477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Speed m/s</a:t>
                </a:r>
              </a:p>
            </c:rich>
          </c:tx>
          <c:layout>
            <c:manualLayout>
              <c:xMode val="edge"/>
              <c:yMode val="edge"/>
              <c:x val="2.5291828793774319E-2"/>
              <c:y val="0.40625145815106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770536"/>
        <c:crosses val="autoZero"/>
        <c:crossBetween val="midCat"/>
      </c:valAx>
      <c:spPr>
        <a:gradFill rotWithShape="0">
          <a:gsLst>
            <a:gs pos="0">
              <a:srgbClr val="FFFF99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Calculation!$O$126:$Q$126</c:f>
            </c:numRef>
          </c:xVal>
          <c:yVal>
            <c:numRef>
              <c:f>Calculation!$R$126:$T$126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771712"/>
        <c:axId val="544772104"/>
      </c:scatterChart>
      <c:valAx>
        <c:axId val="5447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4772104"/>
        <c:crosses val="autoZero"/>
        <c:crossBetween val="midCat"/>
      </c:valAx>
      <c:valAx>
        <c:axId val="544772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47717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Q$4" fmlaRange="$R$5:$R$7" noThreeD="1" sel="1" val="0"/>
</file>

<file path=xl/ctrlProps/ctrlProp10.xml><?xml version="1.0" encoding="utf-8"?>
<formControlPr xmlns="http://schemas.microsoft.com/office/spreadsheetml/2009/9/main" objectType="Drop" dropStyle="combo" dx="16" fmlaLink="$L$262" fmlaRange="$M$263:$M$286" noThreeD="1" sel="14" val="6"/>
</file>

<file path=xl/ctrlProps/ctrlProp11.xml><?xml version="1.0" encoding="utf-8"?>
<formControlPr xmlns="http://schemas.microsoft.com/office/spreadsheetml/2009/9/main" objectType="Drop" dropStyle="combo" dx="16" fmlaRange="$AF$147:$AF$152" noThreeD="1" sel="0" val="0"/>
</file>

<file path=xl/ctrlProps/ctrlProp2.xml><?xml version="1.0" encoding="utf-8"?>
<formControlPr xmlns="http://schemas.microsoft.com/office/spreadsheetml/2009/9/main" objectType="Drop" dropStyle="combo" dx="16" fmlaLink="$Q$10" fmlaRange="$R$11:$R$13" noThreeD="1" sel="1" val="0"/>
</file>

<file path=xl/ctrlProps/ctrlProp3.xml><?xml version="1.0" encoding="utf-8"?>
<formControlPr xmlns="http://schemas.microsoft.com/office/spreadsheetml/2009/9/main" objectType="Drop" dropStyle="combo" dx="16" fmlaLink="$Q$15" fmlaRange="$Q$16:$Q$17" noThreeD="1" sel="1" val="0"/>
</file>

<file path=xl/ctrlProps/ctrlProp4.xml><?xml version="1.0" encoding="utf-8"?>
<formControlPr xmlns="http://schemas.microsoft.com/office/spreadsheetml/2009/9/main" objectType="Drop" dropStyle="combo" dx="16" fmlaLink="$T$15" fmlaRange="$U$16:$U$17" noThreeD="1" sel="1" val="0"/>
</file>

<file path=xl/ctrlProps/ctrlProp5.xml><?xml version="1.0" encoding="utf-8"?>
<formControlPr xmlns="http://schemas.microsoft.com/office/spreadsheetml/2009/9/main" objectType="Drop" dropStyle="combo" dx="16" fmlaLink="$X$10" fmlaRange="$Y$11:$Y$12" noThreeD="1" sel="1" val="0"/>
</file>

<file path=xl/ctrlProps/ctrlProp6.xml><?xml version="1.0" encoding="utf-8"?>
<formControlPr xmlns="http://schemas.microsoft.com/office/spreadsheetml/2009/9/main" objectType="Drop" dropStyle="combo" dx="16" fmlaLink="$W$15" fmlaRange="$X$16:$X$17" noThreeD="1" sel="2" val="0"/>
</file>

<file path=xl/ctrlProps/ctrlProp7.xml><?xml version="1.0" encoding="utf-8"?>
<formControlPr xmlns="http://schemas.microsoft.com/office/spreadsheetml/2009/9/main" objectType="Drop" dropStyle="combo" dx="16" fmlaLink="$L$250" fmlaRange="$M$251:$M$252" noThreeD="1" sel="2" val="0"/>
</file>

<file path=xl/ctrlProps/ctrlProp8.xml><?xml version="1.0" encoding="utf-8"?>
<formControlPr xmlns="http://schemas.microsoft.com/office/spreadsheetml/2009/9/main" objectType="Drop" dropStyle="combo" dx="16" fmlaLink="$L$254" fmlaRange="$M$255:$M$259" noThreeD="1" sel="3" val="0"/>
</file>

<file path=xl/ctrlProps/ctrlProp9.xml><?xml version="1.0" encoding="utf-8"?>
<formControlPr xmlns="http://schemas.microsoft.com/office/spreadsheetml/2009/9/main" objectType="Drop" dropStyle="combo" dx="16" fmlaLink="$O$254" fmlaRange="$P$255:$P$256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://www.germes-online.com/direct/dbimage/50224258/Commercial_Vehicle_Braking_Spring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8</xdr:row>
          <xdr:rowOff>9525</xdr:rowOff>
        </xdr:from>
        <xdr:to>
          <xdr:col>2</xdr:col>
          <xdr:colOff>609600</xdr:colOff>
          <xdr:row>9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14</xdr:row>
          <xdr:rowOff>171450</xdr:rowOff>
        </xdr:from>
        <xdr:to>
          <xdr:col>4</xdr:col>
          <xdr:colOff>304800</xdr:colOff>
          <xdr:row>16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0</xdr:rowOff>
        </xdr:from>
        <xdr:to>
          <xdr:col>4</xdr:col>
          <xdr:colOff>542925</xdr:colOff>
          <xdr:row>19</xdr:row>
          <xdr:rowOff>9525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66675</xdr:colOff>
          <xdr:row>24</xdr:row>
          <xdr:rowOff>9525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590550</xdr:colOff>
      <xdr:row>1</xdr:row>
      <xdr:rowOff>38100</xdr:rowOff>
    </xdr:from>
    <xdr:to>
      <xdr:col>9</xdr:col>
      <xdr:colOff>638175</xdr:colOff>
      <xdr:row>4</xdr:row>
      <xdr:rowOff>104775</xdr:rowOff>
    </xdr:to>
    <xdr:pic>
      <xdr:nvPicPr>
        <xdr:cNvPr id="10" name="Picture 2" descr="Macintosh HD:Users:markmasseur:Documents:Clients:Danaher:Thomson Collateral:Thomson_Letterhead :Thomson_Letterhead_head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20" t="34583" r="7782" b="26601"/>
        <a:stretch>
          <a:fillRect/>
        </a:stretch>
      </xdr:blipFill>
      <xdr:spPr bwMode="auto">
        <a:xfrm>
          <a:off x="4086225" y="628650"/>
          <a:ext cx="2476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26</xdr:row>
      <xdr:rowOff>1</xdr:rowOff>
    </xdr:from>
    <xdr:to>
      <xdr:col>5</xdr:col>
      <xdr:colOff>277092</xdr:colOff>
      <xdr:row>38</xdr:row>
      <xdr:rowOff>110033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230092"/>
          <a:ext cx="3489614" cy="2318101"/>
        </a:xfrm>
        <a:prstGeom prst="rect">
          <a:avLst/>
        </a:prstGeom>
      </xdr:spPr>
    </xdr:pic>
    <xdr:clientData/>
  </xdr:twoCellAnchor>
  <xdr:twoCellAnchor editAs="oneCell">
    <xdr:from>
      <xdr:col>5</xdr:col>
      <xdr:colOff>173184</xdr:colOff>
      <xdr:row>18</xdr:row>
      <xdr:rowOff>17319</xdr:rowOff>
    </xdr:from>
    <xdr:to>
      <xdr:col>9</xdr:col>
      <xdr:colOff>562843</xdr:colOff>
      <xdr:row>24</xdr:row>
      <xdr:rowOff>33482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9843" y="3714751"/>
          <a:ext cx="2814204" cy="1133186"/>
        </a:xfrm>
        <a:prstGeom prst="rect">
          <a:avLst/>
        </a:prstGeom>
      </xdr:spPr>
    </xdr:pic>
    <xdr:clientData/>
  </xdr:twoCellAnchor>
  <xdr:twoCellAnchor>
    <xdr:from>
      <xdr:col>3</xdr:col>
      <xdr:colOff>389657</xdr:colOff>
      <xdr:row>53</xdr:row>
      <xdr:rowOff>103909</xdr:rowOff>
    </xdr:from>
    <xdr:to>
      <xdr:col>9</xdr:col>
      <xdr:colOff>571499</xdr:colOff>
      <xdr:row>66</xdr:row>
      <xdr:rowOff>121229</xdr:rowOff>
    </xdr:to>
    <xdr:graphicFrame macro="">
      <xdr:nvGraphicFramePr>
        <xdr:cNvPr id="16" name="Diagram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47</xdr:row>
          <xdr:rowOff>9525</xdr:rowOff>
        </xdr:from>
        <xdr:to>
          <xdr:col>6</xdr:col>
          <xdr:colOff>47625</xdr:colOff>
          <xdr:row>48</xdr:row>
          <xdr:rowOff>19050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41</xdr:row>
          <xdr:rowOff>9525</xdr:rowOff>
        </xdr:from>
        <xdr:to>
          <xdr:col>9</xdr:col>
          <xdr:colOff>123825</xdr:colOff>
          <xdr:row>42</xdr:row>
          <xdr:rowOff>19050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69273</xdr:colOff>
      <xdr:row>132</xdr:row>
      <xdr:rowOff>35501</xdr:rowOff>
    </xdr:from>
    <xdr:to>
      <xdr:col>20</xdr:col>
      <xdr:colOff>571501</xdr:colOff>
      <xdr:row>140</xdr:row>
      <xdr:rowOff>17317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619125</xdr:colOff>
          <xdr:row>106</xdr:row>
          <xdr:rowOff>171450</xdr:rowOff>
        </xdr:from>
        <xdr:to>
          <xdr:col>2</xdr:col>
          <xdr:colOff>581025</xdr:colOff>
          <xdr:row>108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113</xdr:row>
          <xdr:rowOff>171450</xdr:rowOff>
        </xdr:from>
        <xdr:to>
          <xdr:col>2</xdr:col>
          <xdr:colOff>571500</xdr:colOff>
          <xdr:row>114</xdr:row>
          <xdr:rowOff>171450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113</xdr:row>
          <xdr:rowOff>161925</xdr:rowOff>
        </xdr:from>
        <xdr:to>
          <xdr:col>8</xdr:col>
          <xdr:colOff>304800</xdr:colOff>
          <xdr:row>114</xdr:row>
          <xdr:rowOff>190500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113</xdr:row>
          <xdr:rowOff>180975</xdr:rowOff>
        </xdr:from>
        <xdr:to>
          <xdr:col>6</xdr:col>
          <xdr:colOff>428625</xdr:colOff>
          <xdr:row>114</xdr:row>
          <xdr:rowOff>180975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82</xdr:row>
          <xdr:rowOff>104775</xdr:rowOff>
        </xdr:from>
        <xdr:to>
          <xdr:col>9</xdr:col>
          <xdr:colOff>590550</xdr:colOff>
          <xdr:row>83</xdr:row>
          <xdr:rowOff>142875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</xdr:colOff>
      <xdr:row>21</xdr:row>
      <xdr:rowOff>99060</xdr:rowOff>
    </xdr:from>
    <xdr:to>
      <xdr:col>3</xdr:col>
      <xdr:colOff>457200</xdr:colOff>
      <xdr:row>22</xdr:row>
      <xdr:rowOff>68580</xdr:rowOff>
    </xdr:to>
    <xdr:sp macro="" textlink="">
      <xdr:nvSpPr>
        <xdr:cNvPr id="2" name="Oval 5"/>
        <xdr:cNvSpPr>
          <a:spLocks noChangeArrowheads="1"/>
        </xdr:cNvSpPr>
      </xdr:nvSpPr>
      <xdr:spPr bwMode="auto">
        <a:xfrm>
          <a:off x="2426970" y="3585210"/>
          <a:ext cx="144780" cy="13144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round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808080" mc:Ignorable="a14" a14:legacySpreadsheetColorIndex="23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411480</xdr:colOff>
      <xdr:row>21</xdr:row>
      <xdr:rowOff>99060</xdr:rowOff>
    </xdr:from>
    <xdr:to>
      <xdr:col>2</xdr:col>
      <xdr:colOff>556260</xdr:colOff>
      <xdr:row>22</xdr:row>
      <xdr:rowOff>68580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1916430" y="3585210"/>
          <a:ext cx="144780" cy="13144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9525">
          <a:round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808080" mc:Ignorable="a14" a14:legacySpreadsheetColorIndex="23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304800</xdr:colOff>
      <xdr:row>18</xdr:row>
      <xdr:rowOff>76200</xdr:rowOff>
    </xdr:from>
    <xdr:to>
      <xdr:col>3</xdr:col>
      <xdr:colOff>601980</xdr:colOff>
      <xdr:row>21</xdr:row>
      <xdr:rowOff>91440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809750" y="3076575"/>
          <a:ext cx="906780" cy="5010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miter lim="800000"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FFFFFF" mc:Ignorable="a14" a14:legacySpreadsheetColorIndex="9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76200</xdr:colOff>
      <xdr:row>19</xdr:row>
      <xdr:rowOff>106680</xdr:rowOff>
    </xdr:from>
    <xdr:to>
      <xdr:col>4</xdr:col>
      <xdr:colOff>533400</xdr:colOff>
      <xdr:row>19</xdr:row>
      <xdr:rowOff>106680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2800350" y="3268980"/>
          <a:ext cx="4572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579120</xdr:colOff>
      <xdr:row>19</xdr:row>
      <xdr:rowOff>106680</xdr:rowOff>
    </xdr:from>
    <xdr:to>
      <xdr:col>3</xdr:col>
      <xdr:colOff>403860</xdr:colOff>
      <xdr:row>20</xdr:row>
      <xdr:rowOff>129540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2084070" y="3268980"/>
          <a:ext cx="43434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Mass</a:t>
          </a:r>
          <a:endParaRPr lang="sv-SE"/>
        </a:p>
      </xdr:txBody>
    </xdr:sp>
    <xdr:clientData/>
  </xdr:twoCellAnchor>
  <xdr:twoCellAnchor>
    <xdr:from>
      <xdr:col>5</xdr:col>
      <xdr:colOff>533400</xdr:colOff>
      <xdr:row>25</xdr:row>
      <xdr:rowOff>30480</xdr:rowOff>
    </xdr:from>
    <xdr:to>
      <xdr:col>7</xdr:col>
      <xdr:colOff>220980</xdr:colOff>
      <xdr:row>28</xdr:row>
      <xdr:rowOff>38100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67150" y="4164330"/>
          <a:ext cx="906780" cy="4933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miter lim="800000"/>
          <a:headEnd/>
          <a:tailEnd/>
        </a:ln>
        <a:effectLst/>
        <a:scene3d>
          <a:camera prst="legacyObliqueTopRight"/>
          <a:lightRig rig="legacyFlat3" dir="b"/>
        </a:scene3d>
        <a:sp3d extrusionH="4302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FFFFFF" mc:Ignorable="a14" a14:legacySpreadsheetColorIndex="9"/>
          </a:extrusionClr>
        </a:sp3d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137160</xdr:colOff>
      <xdr:row>26</xdr:row>
      <xdr:rowOff>0</xdr:rowOff>
    </xdr:from>
    <xdr:to>
      <xdr:col>6</xdr:col>
      <xdr:colOff>563880</xdr:colOff>
      <xdr:row>27</xdr:row>
      <xdr:rowOff>22860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080510" y="4295775"/>
          <a:ext cx="42672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Mass</a:t>
          </a:r>
          <a:endParaRPr lang="sv-SE"/>
        </a:p>
      </xdr:txBody>
    </xdr:sp>
    <xdr:clientData/>
  </xdr:twoCellAnchor>
  <xdr:twoCellAnchor>
    <xdr:from>
      <xdr:col>6</xdr:col>
      <xdr:colOff>419100</xdr:colOff>
      <xdr:row>22</xdr:row>
      <xdr:rowOff>7620</xdr:rowOff>
    </xdr:from>
    <xdr:to>
      <xdr:col>6</xdr:col>
      <xdr:colOff>419100</xdr:colOff>
      <xdr:row>24</xdr:row>
      <xdr:rowOff>99060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4362450" y="3655695"/>
          <a:ext cx="0" cy="41529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99060</xdr:colOff>
      <xdr:row>22</xdr:row>
      <xdr:rowOff>99060</xdr:rowOff>
    </xdr:from>
    <xdr:to>
      <xdr:col>4</xdr:col>
      <xdr:colOff>266700</xdr:colOff>
      <xdr:row>22</xdr:row>
      <xdr:rowOff>99060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04010" y="3747135"/>
          <a:ext cx="13868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60960</xdr:colOff>
      <xdr:row>34</xdr:row>
      <xdr:rowOff>137160</xdr:rowOff>
    </xdr:from>
    <xdr:to>
      <xdr:col>1</xdr:col>
      <xdr:colOff>464820</xdr:colOff>
      <xdr:row>39</xdr:row>
      <xdr:rowOff>30480</xdr:rowOff>
    </xdr:to>
    <xdr:pic>
      <xdr:nvPicPr>
        <xdr:cNvPr id="11" name="Picture 10" descr="Commercial_Vehicle_Braking_Spring">
          <a:hlinkClick xmlns:r="http://schemas.openxmlformats.org/officeDocument/2006/relationships" r:id="rId1" tgtFrame="_top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94" r="65594" b="28113"/>
        <a:stretch>
          <a:fillRect/>
        </a:stretch>
      </xdr:blipFill>
      <xdr:spPr bwMode="auto">
        <a:xfrm>
          <a:off x="956310" y="5728335"/>
          <a:ext cx="403860" cy="70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923925</xdr:colOff>
      <xdr:row>67</xdr:row>
      <xdr:rowOff>0</xdr:rowOff>
    </xdr:from>
    <xdr:to>
      <xdr:col>7</xdr:col>
      <xdr:colOff>476250</xdr:colOff>
      <xdr:row>68</xdr:row>
      <xdr:rowOff>28575</xdr:rowOff>
    </xdr:to>
    <xdr:sp macro="" textlink="">
      <xdr:nvSpPr>
        <xdr:cNvPr id="12" name="Rektangel 11"/>
        <xdr:cNvSpPr/>
      </xdr:nvSpPr>
      <xdr:spPr>
        <a:xfrm>
          <a:off x="923925" y="12803605"/>
          <a:ext cx="4299786" cy="21907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19050</xdr:colOff>
      <xdr:row>66</xdr:row>
      <xdr:rowOff>123825</xdr:rowOff>
    </xdr:from>
    <xdr:to>
      <xdr:col>2</xdr:col>
      <xdr:colOff>523875</xdr:colOff>
      <xdr:row>67</xdr:row>
      <xdr:rowOff>0</xdr:rowOff>
    </xdr:to>
    <xdr:sp macro="" textlink="">
      <xdr:nvSpPr>
        <xdr:cNvPr id="13" name="Rektangel 12"/>
        <xdr:cNvSpPr/>
      </xdr:nvSpPr>
      <xdr:spPr>
        <a:xfrm>
          <a:off x="1704975" y="12734925"/>
          <a:ext cx="504825" cy="666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329866</xdr:colOff>
      <xdr:row>66</xdr:row>
      <xdr:rowOff>123825</xdr:rowOff>
    </xdr:from>
    <xdr:to>
      <xdr:col>4</xdr:col>
      <xdr:colOff>223085</xdr:colOff>
      <xdr:row>67</xdr:row>
      <xdr:rowOff>0</xdr:rowOff>
    </xdr:to>
    <xdr:sp macro="" textlink="">
      <xdr:nvSpPr>
        <xdr:cNvPr id="14" name="Rektangel 13"/>
        <xdr:cNvSpPr/>
      </xdr:nvSpPr>
      <xdr:spPr>
        <a:xfrm>
          <a:off x="2630905" y="12736930"/>
          <a:ext cx="504825" cy="666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</xdr:col>
      <xdr:colOff>15040</xdr:colOff>
      <xdr:row>65</xdr:row>
      <xdr:rowOff>180474</xdr:rowOff>
    </xdr:from>
    <xdr:to>
      <xdr:col>4</xdr:col>
      <xdr:colOff>220579</xdr:colOff>
      <xdr:row>66</xdr:row>
      <xdr:rowOff>110290</xdr:rowOff>
    </xdr:to>
    <xdr:sp macro="" textlink="">
      <xdr:nvSpPr>
        <xdr:cNvPr id="15" name="Rektangel 14"/>
        <xdr:cNvSpPr/>
      </xdr:nvSpPr>
      <xdr:spPr>
        <a:xfrm>
          <a:off x="1704474" y="12603079"/>
          <a:ext cx="1428750" cy="12031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290763</xdr:colOff>
      <xdr:row>65</xdr:row>
      <xdr:rowOff>105277</xdr:rowOff>
    </xdr:from>
    <xdr:to>
      <xdr:col>4</xdr:col>
      <xdr:colOff>546434</xdr:colOff>
      <xdr:row>66</xdr:row>
      <xdr:rowOff>0</xdr:rowOff>
    </xdr:to>
    <xdr:cxnSp macro="">
      <xdr:nvCxnSpPr>
        <xdr:cNvPr id="17" name="Rak pil 16"/>
        <xdr:cNvCxnSpPr/>
      </xdr:nvCxnSpPr>
      <xdr:spPr>
        <a:xfrm flipH="1">
          <a:off x="3203408" y="12527882"/>
          <a:ext cx="255671" cy="852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387517</xdr:colOff>
      <xdr:row>66</xdr:row>
      <xdr:rowOff>180474</xdr:rowOff>
    </xdr:from>
    <xdr:to>
      <xdr:col>9</xdr:col>
      <xdr:colOff>25066</xdr:colOff>
      <xdr:row>68</xdr:row>
      <xdr:rowOff>18549</xdr:rowOff>
    </xdr:to>
    <xdr:sp macro="" textlink="">
      <xdr:nvSpPr>
        <xdr:cNvPr id="18" name="Rektangel 17"/>
        <xdr:cNvSpPr/>
      </xdr:nvSpPr>
      <xdr:spPr>
        <a:xfrm>
          <a:off x="5746583" y="12793579"/>
          <a:ext cx="249154" cy="21907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415089</xdr:colOff>
      <xdr:row>66</xdr:row>
      <xdr:rowOff>124728</xdr:rowOff>
    </xdr:from>
    <xdr:to>
      <xdr:col>8</xdr:col>
      <xdr:colOff>596566</xdr:colOff>
      <xdr:row>66</xdr:row>
      <xdr:rowOff>170447</xdr:rowOff>
    </xdr:to>
    <xdr:sp macro="" textlink="">
      <xdr:nvSpPr>
        <xdr:cNvPr id="19" name="Rektangel 18"/>
        <xdr:cNvSpPr/>
      </xdr:nvSpPr>
      <xdr:spPr>
        <a:xfrm>
          <a:off x="5774155" y="12737833"/>
          <a:ext cx="181477" cy="4571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10</xdr:col>
      <xdr:colOff>66675</xdr:colOff>
      <xdr:row>66</xdr:row>
      <xdr:rowOff>170448</xdr:rowOff>
    </xdr:from>
    <xdr:to>
      <xdr:col>10</xdr:col>
      <xdr:colOff>315829</xdr:colOff>
      <xdr:row>68</xdr:row>
      <xdr:rowOff>8523</xdr:rowOff>
    </xdr:to>
    <xdr:sp macro="" textlink="">
      <xdr:nvSpPr>
        <xdr:cNvPr id="20" name="Rektangel 19"/>
        <xdr:cNvSpPr/>
      </xdr:nvSpPr>
      <xdr:spPr>
        <a:xfrm>
          <a:off x="6648951" y="12783553"/>
          <a:ext cx="249154" cy="21907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10</xdr:col>
      <xdr:colOff>104274</xdr:colOff>
      <xdr:row>66</xdr:row>
      <xdr:rowOff>124728</xdr:rowOff>
    </xdr:from>
    <xdr:to>
      <xdr:col>10</xdr:col>
      <xdr:colOff>285751</xdr:colOff>
      <xdr:row>66</xdr:row>
      <xdr:rowOff>170447</xdr:rowOff>
    </xdr:to>
    <xdr:sp macro="" textlink="">
      <xdr:nvSpPr>
        <xdr:cNvPr id="21" name="Rektangel 20"/>
        <xdr:cNvSpPr/>
      </xdr:nvSpPr>
      <xdr:spPr>
        <a:xfrm>
          <a:off x="6686550" y="12737833"/>
          <a:ext cx="181477" cy="4571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421106</xdr:colOff>
      <xdr:row>66</xdr:row>
      <xdr:rowOff>10027</xdr:rowOff>
    </xdr:from>
    <xdr:to>
      <xdr:col>10</xdr:col>
      <xdr:colOff>280737</xdr:colOff>
      <xdr:row>66</xdr:row>
      <xdr:rowOff>115904</xdr:rowOff>
    </xdr:to>
    <xdr:sp macro="" textlink="">
      <xdr:nvSpPr>
        <xdr:cNvPr id="22" name="Rektangel 21"/>
        <xdr:cNvSpPr/>
      </xdr:nvSpPr>
      <xdr:spPr>
        <a:xfrm>
          <a:off x="5780172" y="12623132"/>
          <a:ext cx="1082841" cy="1058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6518</xdr:colOff>
      <xdr:row>71</xdr:row>
      <xdr:rowOff>10027</xdr:rowOff>
    </xdr:from>
    <xdr:to>
      <xdr:col>9</xdr:col>
      <xdr:colOff>381001</xdr:colOff>
      <xdr:row>71</xdr:row>
      <xdr:rowOff>180475</xdr:rowOff>
    </xdr:to>
    <xdr:sp macro="" textlink="">
      <xdr:nvSpPr>
        <xdr:cNvPr id="23" name="Rektangel 22"/>
        <xdr:cNvSpPr/>
      </xdr:nvSpPr>
      <xdr:spPr>
        <a:xfrm>
          <a:off x="2919163" y="13575632"/>
          <a:ext cx="3432509" cy="170448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4</xdr:col>
      <xdr:colOff>11530</xdr:colOff>
      <xdr:row>74</xdr:row>
      <xdr:rowOff>185488</xdr:rowOff>
    </xdr:from>
    <xdr:to>
      <xdr:col>9</xdr:col>
      <xdr:colOff>386013</xdr:colOff>
      <xdr:row>75</xdr:row>
      <xdr:rowOff>165436</xdr:rowOff>
    </xdr:to>
    <xdr:sp macro="" textlink="">
      <xdr:nvSpPr>
        <xdr:cNvPr id="24" name="Rektangel 23"/>
        <xdr:cNvSpPr/>
      </xdr:nvSpPr>
      <xdr:spPr>
        <a:xfrm>
          <a:off x="2924175" y="14322593"/>
          <a:ext cx="3432509" cy="170448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4010</xdr:colOff>
      <xdr:row>71</xdr:row>
      <xdr:rowOff>38602</xdr:rowOff>
    </xdr:from>
    <xdr:to>
      <xdr:col>8</xdr:col>
      <xdr:colOff>508835</xdr:colOff>
      <xdr:row>71</xdr:row>
      <xdr:rowOff>150395</xdr:rowOff>
    </xdr:to>
    <xdr:sp macro="" textlink="">
      <xdr:nvSpPr>
        <xdr:cNvPr id="25" name="Rektangel 24"/>
        <xdr:cNvSpPr/>
      </xdr:nvSpPr>
      <xdr:spPr>
        <a:xfrm>
          <a:off x="5363076" y="13604207"/>
          <a:ext cx="504825" cy="1117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19050</xdr:colOff>
      <xdr:row>75</xdr:row>
      <xdr:rowOff>23563</xdr:rowOff>
    </xdr:from>
    <xdr:to>
      <xdr:col>8</xdr:col>
      <xdr:colOff>523875</xdr:colOff>
      <xdr:row>75</xdr:row>
      <xdr:rowOff>135356</xdr:rowOff>
    </xdr:to>
    <xdr:sp macro="" textlink="">
      <xdr:nvSpPr>
        <xdr:cNvPr id="26" name="Rektangel 25"/>
        <xdr:cNvSpPr/>
      </xdr:nvSpPr>
      <xdr:spPr>
        <a:xfrm>
          <a:off x="5378116" y="14351168"/>
          <a:ext cx="504825" cy="1117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99261</xdr:colOff>
      <xdr:row>71</xdr:row>
      <xdr:rowOff>38601</xdr:rowOff>
    </xdr:from>
    <xdr:to>
      <xdr:col>6</xdr:col>
      <xdr:colOff>604086</xdr:colOff>
      <xdr:row>71</xdr:row>
      <xdr:rowOff>150394</xdr:rowOff>
    </xdr:to>
    <xdr:sp macro="" textlink="">
      <xdr:nvSpPr>
        <xdr:cNvPr id="27" name="Rektangel 26"/>
        <xdr:cNvSpPr/>
      </xdr:nvSpPr>
      <xdr:spPr>
        <a:xfrm>
          <a:off x="4235116" y="13604206"/>
          <a:ext cx="504825" cy="1117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94248</xdr:colOff>
      <xdr:row>75</xdr:row>
      <xdr:rowOff>23562</xdr:rowOff>
    </xdr:from>
    <xdr:to>
      <xdr:col>6</xdr:col>
      <xdr:colOff>599073</xdr:colOff>
      <xdr:row>75</xdr:row>
      <xdr:rowOff>135355</xdr:rowOff>
    </xdr:to>
    <xdr:sp macro="" textlink="">
      <xdr:nvSpPr>
        <xdr:cNvPr id="28" name="Rektangel 27"/>
        <xdr:cNvSpPr/>
      </xdr:nvSpPr>
      <xdr:spPr>
        <a:xfrm>
          <a:off x="4230103" y="14351167"/>
          <a:ext cx="504825" cy="1117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60158</xdr:colOff>
      <xdr:row>70</xdr:row>
      <xdr:rowOff>170448</xdr:rowOff>
    </xdr:from>
    <xdr:to>
      <xdr:col>8</xdr:col>
      <xdr:colOff>546434</xdr:colOff>
      <xdr:row>75</xdr:row>
      <xdr:rowOff>185487</xdr:rowOff>
    </xdr:to>
    <xdr:sp macro="" textlink="">
      <xdr:nvSpPr>
        <xdr:cNvPr id="29" name="Rektangel 28"/>
        <xdr:cNvSpPr/>
      </xdr:nvSpPr>
      <xdr:spPr>
        <a:xfrm>
          <a:off x="4196013" y="13545553"/>
          <a:ext cx="1709487" cy="967539"/>
        </a:xfrm>
        <a:prstGeom prst="rect">
          <a:avLst/>
        </a:prstGeom>
        <a:solidFill>
          <a:srgbClr val="66CCFF">
            <a:alpha val="14118"/>
          </a:srgbClr>
        </a:solidFill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286"/>
  <sheetViews>
    <sheetView tabSelected="1" zoomScale="110" zoomScaleNormal="110" workbookViewId="0">
      <selection activeCell="J34" sqref="J34"/>
    </sheetView>
  </sheetViews>
  <sheetFormatPr defaultColWidth="9.140625" defaultRowHeight="14.25" zeroHeight="1" x14ac:dyDescent="0.2"/>
  <cols>
    <col min="1" max="1" width="9.42578125" style="18" customWidth="1"/>
    <col min="2" max="2" width="9.140625" style="18" customWidth="1"/>
    <col min="3" max="3" width="10.5703125" style="18" bestFit="1" customWidth="1"/>
    <col min="4" max="4" width="10" style="18" customWidth="1"/>
    <col min="5" max="11" width="9.140625" style="18" customWidth="1"/>
    <col min="12" max="19" width="9.140625" style="18" hidden="1" customWidth="1"/>
    <col min="20" max="20" width="11.28515625" style="18" hidden="1" customWidth="1"/>
    <col min="21" max="21" width="9.140625" style="18" hidden="1" customWidth="1"/>
    <col min="22" max="22" width="10.5703125" style="18" hidden="1" customWidth="1"/>
    <col min="23" max="23" width="11.5703125" style="18" hidden="1" customWidth="1"/>
    <col min="24" max="27" width="9.140625" style="18" hidden="1" customWidth="1"/>
    <col min="28" max="28" width="11.7109375" style="18" hidden="1" customWidth="1"/>
    <col min="29" max="41" width="9.140625" style="18" hidden="1" customWidth="1"/>
    <col min="42" max="42" width="11.5703125" style="18" hidden="1" customWidth="1"/>
    <col min="43" max="48" width="9.140625" style="18" hidden="1" customWidth="1"/>
    <col min="49" max="49" width="10.85546875" style="18" hidden="1" customWidth="1"/>
    <col min="50" max="50" width="9.140625" style="18" hidden="1" customWidth="1"/>
    <col min="51" max="51" width="10.5703125" style="18" hidden="1" customWidth="1"/>
    <col min="52" max="52" width="9.140625" style="18" hidden="1" customWidth="1"/>
    <col min="53" max="53" width="15.85546875" style="18" hidden="1" customWidth="1"/>
    <col min="54" max="62" width="9.140625" style="18" hidden="1" customWidth="1"/>
    <col min="63" max="64" width="9.140625" style="18" customWidth="1"/>
    <col min="65" max="16384" width="9.140625" style="18"/>
  </cols>
  <sheetData>
    <row r="1" spans="1:64" ht="39.75" customHeight="1" x14ac:dyDescent="0.3">
      <c r="A1" s="1" t="s">
        <v>15</v>
      </c>
      <c r="B1" s="2"/>
      <c r="C1" s="2"/>
      <c r="D1" s="3" t="s">
        <v>0</v>
      </c>
      <c r="E1" s="2"/>
      <c r="F1" s="2"/>
      <c r="G1" s="2"/>
      <c r="H1" s="2"/>
      <c r="I1" s="4" t="s">
        <v>356</v>
      </c>
      <c r="J1" s="5"/>
      <c r="BF1" s="211" t="s">
        <v>311</v>
      </c>
    </row>
    <row r="2" spans="1:64" ht="18.75" x14ac:dyDescent="0.35">
      <c r="A2" s="6" t="s">
        <v>16</v>
      </c>
      <c r="B2" s="2"/>
      <c r="C2" s="2"/>
      <c r="D2" s="19"/>
      <c r="E2" s="7"/>
      <c r="F2" s="8"/>
      <c r="G2" s="8"/>
      <c r="H2" s="8"/>
      <c r="I2" s="2"/>
      <c r="J2" s="5"/>
      <c r="U2" s="18" t="s">
        <v>66</v>
      </c>
      <c r="X2" s="18" t="s">
        <v>67</v>
      </c>
      <c r="Y2" s="21" t="s">
        <v>76</v>
      </c>
      <c r="Z2" s="21" t="s">
        <v>68</v>
      </c>
      <c r="AA2" s="21" t="s">
        <v>69</v>
      </c>
      <c r="AB2" s="21" t="s">
        <v>70</v>
      </c>
      <c r="AC2" s="21" t="s">
        <v>71</v>
      </c>
      <c r="AD2" s="21" t="s">
        <v>72</v>
      </c>
      <c r="AE2" s="21" t="s">
        <v>73</v>
      </c>
      <c r="AF2" s="21" t="s">
        <v>74</v>
      </c>
      <c r="AG2" s="21" t="s">
        <v>45</v>
      </c>
      <c r="AH2" s="21" t="s">
        <v>75</v>
      </c>
      <c r="AI2" s="21" t="s">
        <v>79</v>
      </c>
      <c r="AJ2" s="21" t="s">
        <v>80</v>
      </c>
      <c r="AK2" s="242" t="s">
        <v>100</v>
      </c>
      <c r="AL2" s="242"/>
      <c r="AM2" s="21" t="s">
        <v>81</v>
      </c>
      <c r="AN2" s="242" t="s">
        <v>83</v>
      </c>
      <c r="AO2" s="242"/>
      <c r="AQ2" s="18" t="s">
        <v>81</v>
      </c>
      <c r="AR2" s="126" t="s">
        <v>127</v>
      </c>
      <c r="AS2" s="126" t="s">
        <v>128</v>
      </c>
      <c r="AT2" s="242" t="s">
        <v>140</v>
      </c>
      <c r="AU2" s="242"/>
      <c r="AV2" s="141" t="s">
        <v>168</v>
      </c>
      <c r="AW2" s="242" t="s">
        <v>148</v>
      </c>
      <c r="AX2" s="242"/>
      <c r="AY2" s="242" t="s">
        <v>147</v>
      </c>
      <c r="AZ2" s="242"/>
      <c r="BB2" s="242" t="s">
        <v>171</v>
      </c>
      <c r="BC2" s="242"/>
      <c r="BD2" s="242" t="s">
        <v>174</v>
      </c>
      <c r="BE2" s="242"/>
      <c r="BF2" s="18" t="s">
        <v>312</v>
      </c>
      <c r="BL2" s="18" t="s">
        <v>310</v>
      </c>
    </row>
    <row r="3" spans="1:64" ht="15.75" x14ac:dyDescent="0.25">
      <c r="A3" s="6"/>
      <c r="B3" s="2"/>
      <c r="C3" s="2"/>
      <c r="D3" s="2"/>
      <c r="E3" s="7"/>
      <c r="F3" s="8"/>
      <c r="G3" s="8"/>
      <c r="H3" s="8"/>
      <c r="I3" s="9"/>
      <c r="J3" s="5"/>
      <c r="AI3" s="21" t="s">
        <v>77</v>
      </c>
      <c r="AJ3" s="21" t="s">
        <v>78</v>
      </c>
      <c r="AK3" s="21" t="s">
        <v>101</v>
      </c>
      <c r="AL3" s="21" t="s">
        <v>102</v>
      </c>
      <c r="AM3" s="21" t="s">
        <v>82</v>
      </c>
      <c r="AN3" s="21" t="s">
        <v>84</v>
      </c>
      <c r="AO3" s="21" t="s">
        <v>85</v>
      </c>
      <c r="AQ3" s="55" t="s">
        <v>126</v>
      </c>
      <c r="AT3" s="126" t="s">
        <v>138</v>
      </c>
      <c r="AU3" s="126" t="s">
        <v>139</v>
      </c>
      <c r="AV3" s="126" t="s">
        <v>141</v>
      </c>
      <c r="AW3" s="126" t="s">
        <v>143</v>
      </c>
      <c r="AX3" s="126" t="s">
        <v>144</v>
      </c>
      <c r="AY3" s="126" t="s">
        <v>143</v>
      </c>
      <c r="AZ3" s="126" t="s">
        <v>144</v>
      </c>
      <c r="BB3" s="142" t="s">
        <v>172</v>
      </c>
      <c r="BC3" s="142" t="s">
        <v>173</v>
      </c>
      <c r="BD3" s="142" t="s">
        <v>172</v>
      </c>
      <c r="BE3" s="142" t="s">
        <v>173</v>
      </c>
      <c r="BF3" s="18" t="s">
        <v>313</v>
      </c>
      <c r="BL3" s="54"/>
    </row>
    <row r="4" spans="1:64" ht="15" x14ac:dyDescent="0.25">
      <c r="A4" s="205" t="s">
        <v>1</v>
      </c>
      <c r="B4" s="250"/>
      <c r="C4" s="250"/>
      <c r="D4" s="250"/>
      <c r="E4" s="51"/>
      <c r="F4" s="51"/>
      <c r="G4" s="51"/>
      <c r="H4" s="10"/>
      <c r="I4" s="20"/>
      <c r="J4" s="11"/>
      <c r="Q4" s="121">
        <v>1</v>
      </c>
      <c r="R4" s="18" t="str">
        <f>VLOOKUP(Q4,Q5:R7,2)</f>
        <v>WH50</v>
      </c>
      <c r="S4" s="18" t="str">
        <f>VLOOKUP(Q4,Q5:S7,3)</f>
        <v>16ATL5</v>
      </c>
      <c r="T4" s="18">
        <f>VLOOKUP(Q4,Q5:T7,4)</f>
        <v>120</v>
      </c>
      <c r="U4" s="18">
        <f>VLOOKUP($Q$4,$Q$5:U7,5)</f>
        <v>3000</v>
      </c>
      <c r="V4" s="18">
        <f>VLOOKUP($Q$4,$Q$5:V7,6)</f>
        <v>440</v>
      </c>
      <c r="W4" s="18">
        <f>VLOOKUP($Q$4,$Q$5:W7,7)</f>
        <v>140</v>
      </c>
      <c r="X4" s="18">
        <f>VLOOKUP($Q$4,$Q$5:X7,8)</f>
        <v>260</v>
      </c>
      <c r="Y4" s="18">
        <f>VLOOKUP($Q$4,$Q$5:Y7,9)</f>
        <v>670</v>
      </c>
      <c r="Z4" s="18">
        <f>VLOOKUP($Q$4,$Q$5:Z7,10)</f>
        <v>415</v>
      </c>
      <c r="AA4" s="18">
        <f>VLOOKUP($Q$4,$Q$5:AA7,11)</f>
        <v>730</v>
      </c>
      <c r="AB4" s="18">
        <f>VLOOKUP($Q$4,$Q$5:AB7,12)</f>
        <v>16</v>
      </c>
      <c r="AC4" s="18">
        <f>VLOOKUP($Q$4,$Q$5:AC7,13)</f>
        <v>87</v>
      </c>
      <c r="AD4" s="18">
        <f>VLOOKUP($Q$4,$Q$5:AD7,14)</f>
        <v>50</v>
      </c>
      <c r="AE4" s="18">
        <f>VLOOKUP($Q$4,$Q$5:AE7,15)</f>
        <v>150</v>
      </c>
      <c r="AF4" s="18">
        <f>VLOOKUP($Q$4,$Q$5:AF7,16)</f>
        <v>17</v>
      </c>
      <c r="AG4" s="18">
        <f>VLOOKUP($Q$4,$Q$5:AG7,17)</f>
        <v>6.5</v>
      </c>
      <c r="AH4" s="18">
        <f>VLOOKUP($Q$4,$Q$5:AH7,18)</f>
        <v>40</v>
      </c>
      <c r="AI4" s="18">
        <f>VLOOKUP($Q$4,$Q$5:AI7,19)</f>
        <v>585</v>
      </c>
      <c r="AJ4" s="18">
        <f>VLOOKUP($Q$4,$Q$5:AJ7,20)</f>
        <v>0.9</v>
      </c>
      <c r="AK4" s="18">
        <f>VLOOKUP($Q$4,$Q$5:AK7,21)</f>
        <v>3.5</v>
      </c>
      <c r="AL4" s="18">
        <f>VLOOKUP($Q$4,$Q$5:AL7,22)</f>
        <v>0.44</v>
      </c>
      <c r="AM4" s="18">
        <f>VLOOKUP($Q$4,$Q$5:AM7,23)</f>
        <v>16</v>
      </c>
      <c r="AN4" s="18">
        <f>VLOOKUP($Q$4,$Q$5:AN7,24)</f>
        <v>198</v>
      </c>
      <c r="AO4" s="18">
        <f>VLOOKUP($Q$4,$Q$5:AO7,25)</f>
        <v>39</v>
      </c>
      <c r="AP4" s="18" t="str">
        <f>VLOOKUP($Q$4,$Q$5:AP7,26)</f>
        <v>WH05Z120</v>
      </c>
      <c r="AQ4" s="18">
        <f>VLOOKUP($Q$4,$Q$5:AQ7,27)</f>
        <v>200</v>
      </c>
      <c r="AR4" s="18">
        <f>VLOOKUP($Q$4,$Q$5:AR7,28)</f>
        <v>1630</v>
      </c>
      <c r="AS4" s="18">
        <f>VLOOKUP($Q$4,$Q$5:AS7,29)</f>
        <v>15.8</v>
      </c>
      <c r="AT4" s="18">
        <f>VLOOKUP($Q$4,$Q$5:AT7,30)</f>
        <v>38.200000000000003</v>
      </c>
      <c r="AU4" s="18">
        <f>VLOOKUP($Q$4,$Q$5:AU7,31)</f>
        <v>38.200000000000003</v>
      </c>
      <c r="AV4" s="126">
        <f>VLOOKUP($Q$4,$Q$5:AV7,32)</f>
        <v>650</v>
      </c>
      <c r="AW4" s="18" t="str">
        <f>VLOOKUP($Q$4,$Q$5:AW7,33)</f>
        <v>61906 INA</v>
      </c>
      <c r="AX4" s="18">
        <f>VLOOKUP($Q$4,$Q$5:AX7,34)</f>
        <v>7000</v>
      </c>
      <c r="AY4" s="18" t="str">
        <f>VLOOKUP($Q$4,$Q$5:AY7,35)</f>
        <v>609 SKF</v>
      </c>
      <c r="AZ4" s="18">
        <f>VLOOKUP($Q$4,$Q$5:AZ7,36)</f>
        <v>3710</v>
      </c>
      <c r="BA4" s="18" t="str">
        <f>VLOOKUP($Q$4,$Q$5:BA7,37)</f>
        <v>LFR50/5-6-2Z</v>
      </c>
      <c r="BB4" s="18">
        <f>VLOOKUP($Q$4,$Q$5:BB7,38)</f>
        <v>1</v>
      </c>
      <c r="BC4" s="18">
        <f>VLOOKUP($Q$4,$Q$5:BC7,39)</f>
        <v>3.1</v>
      </c>
      <c r="BD4" s="18">
        <f>VLOOKUP($Q$4,$Q$5:BD7,40)</f>
        <v>0.5</v>
      </c>
      <c r="BE4" s="18">
        <f>VLOOKUP($Q$4,$Q$5:BE7,41)</f>
        <v>3.6</v>
      </c>
      <c r="BF4" s="18">
        <f>VLOOKUP($Q$4,$Q$5:BF7,42)</f>
        <v>35</v>
      </c>
    </row>
    <row r="5" spans="1:64" ht="15" x14ac:dyDescent="0.25">
      <c r="A5" s="205" t="s">
        <v>2</v>
      </c>
      <c r="B5" s="251"/>
      <c r="C5" s="251"/>
      <c r="D5" s="251"/>
      <c r="E5" s="51"/>
      <c r="F5" s="51"/>
      <c r="G5" s="51"/>
      <c r="H5" s="10"/>
      <c r="I5" s="12"/>
      <c r="J5" s="11"/>
      <c r="Q5" s="21">
        <v>1</v>
      </c>
      <c r="R5" s="18" t="s">
        <v>17</v>
      </c>
      <c r="S5" s="18" t="s">
        <v>22</v>
      </c>
      <c r="T5" s="18">
        <v>120</v>
      </c>
      <c r="U5" s="22">
        <v>3000</v>
      </c>
      <c r="V5" s="18">
        <v>440</v>
      </c>
      <c r="W5" s="18">
        <v>140</v>
      </c>
      <c r="X5" s="18">
        <v>260</v>
      </c>
      <c r="Y5" s="18">
        <v>670</v>
      </c>
      <c r="Z5" s="18">
        <f>IF(Q10=3,830,415)</f>
        <v>415</v>
      </c>
      <c r="AA5" s="18">
        <f>IF(Q10=3,1460,730)</f>
        <v>730</v>
      </c>
      <c r="AB5" s="18">
        <f>IF(Q10=3,32,16)</f>
        <v>16</v>
      </c>
      <c r="AC5" s="18">
        <f>IF($Q$10=1,87,IF($Q$10=2,130,0.415*$G$16))</f>
        <v>87</v>
      </c>
      <c r="AD5" s="18">
        <f>IF($Q$10=1,50,IF($Q$10=2,75,0.73*$G$16))</f>
        <v>50</v>
      </c>
      <c r="AE5" s="18">
        <v>150</v>
      </c>
      <c r="AF5" s="18">
        <v>17</v>
      </c>
      <c r="AG5" s="18">
        <v>6.5</v>
      </c>
      <c r="AH5" s="18">
        <v>40</v>
      </c>
      <c r="AI5" s="18">
        <f>IF(C50&lt;2,670-170/2*C50,540-170/6.5*C50)</f>
        <v>585</v>
      </c>
      <c r="AJ5" s="18">
        <f>IF($Q$10=1,0.9,IF($Q$10=2,1.47,2*0.9))</f>
        <v>0.9</v>
      </c>
      <c r="AK5" s="18">
        <v>3.5</v>
      </c>
      <c r="AL5" s="18">
        <v>0.44</v>
      </c>
      <c r="AM5" s="18">
        <f>IF(Q10=3,32,16)</f>
        <v>16</v>
      </c>
      <c r="AN5" s="18">
        <f>IF($Q$10=3,$G$16,IF(Q10=2,368,198))</f>
        <v>198</v>
      </c>
      <c r="AO5" s="18">
        <v>39</v>
      </c>
      <c r="AP5" s="18" t="s">
        <v>118</v>
      </c>
      <c r="AQ5" s="125">
        <v>200</v>
      </c>
      <c r="AR5" s="18">
        <v>1630</v>
      </c>
      <c r="AS5" s="18">
        <v>15.8</v>
      </c>
      <c r="AT5" s="18">
        <v>38.200000000000003</v>
      </c>
      <c r="AU5" s="75">
        <v>38.200000000000003</v>
      </c>
      <c r="AV5" s="139">
        <v>650</v>
      </c>
      <c r="AW5" s="18" t="s">
        <v>142</v>
      </c>
      <c r="AX5" s="18">
        <v>7000</v>
      </c>
      <c r="AY5" s="18" t="s">
        <v>149</v>
      </c>
      <c r="AZ5" s="18">
        <v>3710</v>
      </c>
      <c r="BA5" s="18" t="s">
        <v>175</v>
      </c>
      <c r="BB5" s="142">
        <v>1</v>
      </c>
      <c r="BC5" s="142">
        <v>3.1</v>
      </c>
      <c r="BD5" s="142">
        <v>0.5</v>
      </c>
      <c r="BE5" s="142">
        <v>3.6</v>
      </c>
      <c r="BF5" s="203">
        <v>35</v>
      </c>
    </row>
    <row r="6" spans="1:64" ht="15" x14ac:dyDescent="0.25">
      <c r="A6" s="205" t="s">
        <v>3</v>
      </c>
      <c r="B6" s="252"/>
      <c r="C6" s="252"/>
      <c r="D6" s="252"/>
      <c r="E6" s="52" t="s">
        <v>4</v>
      </c>
      <c r="F6" s="250" t="s">
        <v>5</v>
      </c>
      <c r="G6" s="250"/>
      <c r="H6" s="10"/>
      <c r="I6" s="23"/>
      <c r="J6" s="13"/>
      <c r="Q6" s="21">
        <v>2</v>
      </c>
      <c r="R6" s="18" t="s">
        <v>18</v>
      </c>
      <c r="S6" s="18" t="s">
        <v>23</v>
      </c>
      <c r="T6" s="18">
        <v>200</v>
      </c>
      <c r="U6" s="22">
        <v>11000</v>
      </c>
      <c r="V6" s="18">
        <v>550</v>
      </c>
      <c r="W6" s="18">
        <v>170</v>
      </c>
      <c r="X6" s="18">
        <v>300</v>
      </c>
      <c r="Y6" s="18">
        <v>2700</v>
      </c>
      <c r="Z6" s="18">
        <f>IF(Q10=3,1764,882)</f>
        <v>882</v>
      </c>
      <c r="AA6" s="18">
        <f>IF(Q10=3,4200,2100)</f>
        <v>2100</v>
      </c>
      <c r="AB6" s="18">
        <f>IF(Q10=3,150,75)</f>
        <v>75</v>
      </c>
      <c r="AC6" s="18">
        <f>IF($Q$10=1,230,IF($Q$10=2,345,0.882*$G$16))</f>
        <v>230</v>
      </c>
      <c r="AD6" s="18">
        <f>IF($Q$10=1,100,IF($Q$10=2,150,2.1*$G$16))</f>
        <v>100</v>
      </c>
      <c r="AE6" s="18">
        <v>500</v>
      </c>
      <c r="AF6" s="18">
        <v>100</v>
      </c>
      <c r="AG6" s="18">
        <v>10</v>
      </c>
      <c r="AH6" s="18">
        <v>40</v>
      </c>
      <c r="AI6" s="18">
        <f>IF(C50&lt;=0.5,2700,IF(AND(C50&gt;0.5,C50&lt;3),2800-2800/10*C50,2300-900/10*C50))</f>
        <v>2520</v>
      </c>
      <c r="AJ6" s="18">
        <f>IF($Q$10=1,2.75,IF($Q$10=2,3.43,2*2.75))</f>
        <v>2.75</v>
      </c>
      <c r="AK6" s="18">
        <v>8.6300000000000008</v>
      </c>
      <c r="AL6" s="18">
        <v>0.93</v>
      </c>
      <c r="AM6" s="18">
        <f>IF(Q10=3,40,20)</f>
        <v>20</v>
      </c>
      <c r="AN6" s="18">
        <f>IF($Q$10=3,$G$16,IF(Q10=2,390,220))</f>
        <v>220</v>
      </c>
      <c r="AO6" s="18">
        <v>65</v>
      </c>
      <c r="AP6" s="18" t="s">
        <v>119</v>
      </c>
      <c r="AQ6" s="125">
        <v>500</v>
      </c>
      <c r="AR6" s="18">
        <v>4100</v>
      </c>
      <c r="AS6" s="18">
        <v>22.8</v>
      </c>
      <c r="AT6" s="18">
        <v>63.66</v>
      </c>
      <c r="AU6" s="75">
        <v>63.66</v>
      </c>
      <c r="AV6" s="139">
        <v>1350</v>
      </c>
      <c r="AW6" s="18" t="s">
        <v>145</v>
      </c>
      <c r="AX6" s="18">
        <v>21600</v>
      </c>
      <c r="AY6" s="18" t="s">
        <v>150</v>
      </c>
      <c r="AZ6" s="18">
        <v>12700</v>
      </c>
      <c r="BA6" s="18" t="s">
        <v>176</v>
      </c>
      <c r="BB6" s="142">
        <v>1</v>
      </c>
      <c r="BC6" s="142">
        <v>3.1</v>
      </c>
      <c r="BD6" s="142">
        <v>0.5</v>
      </c>
      <c r="BE6" s="142">
        <v>3.6</v>
      </c>
      <c r="BF6" s="203">
        <v>45</v>
      </c>
    </row>
    <row r="7" spans="1:64" x14ac:dyDescent="0.2">
      <c r="A7" s="14"/>
      <c r="B7" s="5"/>
      <c r="C7" s="5"/>
      <c r="D7" s="5"/>
      <c r="E7" s="5"/>
      <c r="F7" s="11"/>
      <c r="G7" s="11"/>
      <c r="H7" s="11"/>
      <c r="I7" s="20"/>
      <c r="J7" s="11"/>
      <c r="Q7" s="21">
        <v>3</v>
      </c>
      <c r="R7" s="18" t="s">
        <v>19</v>
      </c>
      <c r="S7" s="18" t="s">
        <v>24</v>
      </c>
      <c r="T7" s="18">
        <v>260</v>
      </c>
      <c r="U7" s="22">
        <v>11000</v>
      </c>
      <c r="V7" s="18">
        <v>605</v>
      </c>
      <c r="W7" s="18">
        <v>240</v>
      </c>
      <c r="X7" s="18">
        <v>300</v>
      </c>
      <c r="Y7" s="18">
        <v>5000</v>
      </c>
      <c r="Z7" s="18">
        <f>IF(Q10=3,9960,4980)</f>
        <v>4980</v>
      </c>
      <c r="AA7" s="18">
        <f>IF(Q10=3,18600,9300)</f>
        <v>9300</v>
      </c>
      <c r="AB7" s="18">
        <f>IF(Q10=3,1000,500)</f>
        <v>500</v>
      </c>
      <c r="AC7" s="18">
        <f>IF($Q$10=1,930,IF($Q$10=2,1395,4.98*$G$16))</f>
        <v>930</v>
      </c>
      <c r="AD7" s="18">
        <f>IF($Q$10=1,500,IF($Q$10=2,750,9.3*$G$16))</f>
        <v>500</v>
      </c>
      <c r="AE7" s="18">
        <v>700</v>
      </c>
      <c r="AF7" s="18">
        <v>200</v>
      </c>
      <c r="AG7" s="18">
        <v>10</v>
      </c>
      <c r="AH7" s="18">
        <v>40</v>
      </c>
      <c r="AI7" s="18">
        <f>IF(C50&lt;=1.5,5000,IF(AND(C50&gt;1.5,C50&lt;3.5),5500-3700/10*C50,4800-1700/10*C50))</f>
        <v>5000</v>
      </c>
      <c r="AJ7" s="18">
        <f>IF($Q$10=1,5.5,IF($Q$10=2,8.67,2*5.5))</f>
        <v>5.5</v>
      </c>
      <c r="AK7" s="18">
        <v>17</v>
      </c>
      <c r="AL7" s="18">
        <v>1.64</v>
      </c>
      <c r="AM7" s="18">
        <f>IF(Q10=3,60,30)</f>
        <v>30</v>
      </c>
      <c r="AN7" s="18">
        <f>IF($Q$10=3,$G$16,IF(Q10=2,420,180))</f>
        <v>180</v>
      </c>
      <c r="AO7" s="18">
        <v>97</v>
      </c>
      <c r="AP7" s="18" t="s">
        <v>120</v>
      </c>
      <c r="AQ7" s="125">
        <v>2500</v>
      </c>
      <c r="AR7" s="18">
        <v>14500</v>
      </c>
      <c r="AS7" s="18">
        <v>44.25</v>
      </c>
      <c r="AT7" s="18">
        <v>82.76</v>
      </c>
      <c r="AU7" s="75">
        <v>82.76</v>
      </c>
      <c r="AV7" s="139">
        <v>2500</v>
      </c>
      <c r="AW7" s="18" t="s">
        <v>146</v>
      </c>
      <c r="AX7" s="18">
        <v>28100</v>
      </c>
      <c r="AY7" s="18" t="s">
        <v>151</v>
      </c>
      <c r="AZ7" s="18">
        <v>22500</v>
      </c>
      <c r="BA7" s="18" t="s">
        <v>177</v>
      </c>
      <c r="BB7" s="142">
        <v>1</v>
      </c>
      <c r="BC7" s="142">
        <v>2.7</v>
      </c>
      <c r="BD7" s="142">
        <v>0.5</v>
      </c>
      <c r="BE7" s="142">
        <v>3.2</v>
      </c>
      <c r="BF7" s="203">
        <v>67</v>
      </c>
    </row>
    <row r="8" spans="1:64" ht="15.75" x14ac:dyDescent="0.25">
      <c r="A8" s="15" t="s">
        <v>6</v>
      </c>
      <c r="B8" s="5"/>
      <c r="C8" s="16"/>
      <c r="D8" s="5"/>
      <c r="E8" s="5"/>
      <c r="F8" s="5"/>
      <c r="G8" s="5"/>
      <c r="H8" s="5"/>
      <c r="I8" s="5"/>
      <c r="J8" s="5"/>
    </row>
    <row r="9" spans="1:64" ht="15" x14ac:dyDescent="0.25">
      <c r="A9" s="27"/>
      <c r="B9" s="28" t="s">
        <v>7</v>
      </c>
      <c r="C9" s="29"/>
      <c r="D9" s="30"/>
      <c r="E9" s="19"/>
      <c r="F9" s="31"/>
      <c r="G9" s="32"/>
      <c r="H9" s="33"/>
      <c r="I9" s="31"/>
      <c r="J9" s="31"/>
    </row>
    <row r="10" spans="1:64" ht="15" x14ac:dyDescent="0.25">
      <c r="F10" s="31"/>
      <c r="G10" s="32"/>
      <c r="H10" s="35"/>
      <c r="I10" s="31"/>
      <c r="J10" s="31"/>
      <c r="Q10" s="121">
        <v>1</v>
      </c>
      <c r="S10" s="18">
        <f>IF(Q10=3,2,1)</f>
        <v>1</v>
      </c>
      <c r="U10" s="18">
        <f>VLOOKUP(Q10,Q11:U13,5)</f>
        <v>0</v>
      </c>
      <c r="V10" s="119">
        <f>VLOOKUP(Q10,Q11:V13,6)</f>
        <v>0.9</v>
      </c>
      <c r="W10" s="119" t="str">
        <f>VLOOKUP(Q10,Q11:W13,7)</f>
        <v>N</v>
      </c>
      <c r="X10" s="122">
        <v>1</v>
      </c>
      <c r="Y10" s="18">
        <f>IF(X10=1,1,0)</f>
        <v>1</v>
      </c>
    </row>
    <row r="11" spans="1:64" ht="15" x14ac:dyDescent="0.25">
      <c r="A11" s="27"/>
      <c r="B11" s="28" t="s">
        <v>8</v>
      </c>
      <c r="C11" s="206" t="s">
        <v>20</v>
      </c>
      <c r="D11" s="207"/>
      <c r="E11" s="31"/>
      <c r="F11" s="31"/>
      <c r="G11" s="32"/>
      <c r="H11" s="19"/>
      <c r="I11" s="31"/>
      <c r="J11" s="31"/>
      <c r="Q11" s="21">
        <v>1</v>
      </c>
      <c r="R11" s="18" t="s">
        <v>25</v>
      </c>
      <c r="U11" s="18">
        <v>0</v>
      </c>
      <c r="V11" s="119">
        <f>AJ4</f>
        <v>0.9</v>
      </c>
      <c r="W11" s="119" t="s">
        <v>34</v>
      </c>
      <c r="X11" s="18">
        <v>1</v>
      </c>
      <c r="Y11" s="18" t="s">
        <v>96</v>
      </c>
    </row>
    <row r="12" spans="1:64" ht="15" x14ac:dyDescent="0.25">
      <c r="A12" s="27"/>
      <c r="B12" s="36" t="s">
        <v>125</v>
      </c>
      <c r="C12" s="206" t="s">
        <v>21</v>
      </c>
      <c r="D12" s="208"/>
      <c r="E12" s="206" t="str">
        <f>S4</f>
        <v>16ATL5</v>
      </c>
      <c r="F12" s="209"/>
      <c r="G12" s="209"/>
      <c r="H12" s="209"/>
      <c r="I12" s="53" t="str">
        <f>IF(G16&lt;X4,"Too short"," ")</f>
        <v xml:space="preserve"> </v>
      </c>
      <c r="J12" s="31"/>
      <c r="Q12" s="21">
        <v>2</v>
      </c>
      <c r="R12" s="18" t="s">
        <v>26</v>
      </c>
      <c r="U12" s="18">
        <f>W4</f>
        <v>140</v>
      </c>
      <c r="V12" s="119">
        <f>IF(Q4=1,1.47,IF(Q4=2,3.43,8.67))</f>
        <v>1.47</v>
      </c>
      <c r="W12" s="119" t="s">
        <v>121</v>
      </c>
      <c r="X12" s="18">
        <v>2</v>
      </c>
      <c r="Y12" s="18" t="s">
        <v>97</v>
      </c>
    </row>
    <row r="13" spans="1:64" ht="15" x14ac:dyDescent="0.25">
      <c r="B13" s="25" t="s">
        <v>30</v>
      </c>
      <c r="C13" s="40">
        <f>T4</f>
        <v>120</v>
      </c>
      <c r="D13" s="23" t="s">
        <v>10</v>
      </c>
      <c r="F13" s="41" t="str">
        <f>IF(AND($K$20=3,$K$10&lt;$K$21),"Min Lc ="," ")</f>
        <v xml:space="preserve"> </v>
      </c>
      <c r="G13" s="42" t="str">
        <f>IF(AND($K$20=3,$K$10&lt;$K$21),$K$21," ")</f>
        <v xml:space="preserve"> </v>
      </c>
      <c r="H13" s="43" t="str">
        <f>IF(AND($K$20=3,$K$10&lt;$K$21),"mm"," ")</f>
        <v xml:space="preserve"> </v>
      </c>
      <c r="I13" s="31"/>
      <c r="J13" s="31"/>
      <c r="Q13" s="21">
        <v>3</v>
      </c>
      <c r="R13" s="18" t="s">
        <v>27</v>
      </c>
      <c r="U13" s="18">
        <f>G16</f>
        <v>500</v>
      </c>
      <c r="V13" s="119">
        <f>2*AJ4</f>
        <v>1.8</v>
      </c>
      <c r="W13" s="119" t="s">
        <v>122</v>
      </c>
      <c r="BJ13" s="202"/>
    </row>
    <row r="14" spans="1:64" ht="15" x14ac:dyDescent="0.25">
      <c r="A14" s="24"/>
      <c r="B14" s="25" t="s">
        <v>11</v>
      </c>
      <c r="C14" s="40">
        <v>0.05</v>
      </c>
      <c r="D14" s="19" t="s">
        <v>10</v>
      </c>
      <c r="E14" s="19"/>
      <c r="F14" s="41"/>
      <c r="G14" s="42"/>
      <c r="H14" s="43"/>
      <c r="I14" s="31"/>
      <c r="J14" s="31"/>
      <c r="Q14" s="21"/>
      <c r="AA14" s="18" t="s">
        <v>114</v>
      </c>
    </row>
    <row r="15" spans="1:64" x14ac:dyDescent="0.2">
      <c r="Q15" s="121">
        <v>1</v>
      </c>
      <c r="R15" s="18" t="s">
        <v>113</v>
      </c>
      <c r="S15" s="149">
        <f>Q15-1</f>
        <v>0</v>
      </c>
      <c r="T15" s="121">
        <v>1</v>
      </c>
      <c r="W15" s="122">
        <v>2</v>
      </c>
      <c r="AA15" s="18">
        <f>IF(AND(Q15=1,T15=1,W15=1),1,IF(AND(Q15=2,T15=1,W15=1),2,IF(AND(Q15=1,T15=1,W15=2),3,IF(AND(Q15=2,T15=1,W15=2),4,IF(AND(Q15=1,T15=2),5,IF(AND(Q15=2,T15=2),6,""))))))</f>
        <v>3</v>
      </c>
    </row>
    <row r="16" spans="1:64" ht="15" x14ac:dyDescent="0.25">
      <c r="A16" s="27"/>
      <c r="B16" s="28" t="s">
        <v>9</v>
      </c>
      <c r="C16" s="37"/>
      <c r="D16" s="34"/>
      <c r="E16" s="35" t="str">
        <f>IF(K20=2,"Not available"," ")</f>
        <v xml:space="preserve"> </v>
      </c>
      <c r="F16" s="28" t="str">
        <f>IF(Q10=3,"LA ="," ")</f>
        <v xml:space="preserve"> </v>
      </c>
      <c r="G16" s="38">
        <v>500</v>
      </c>
      <c r="H16" s="39" t="str">
        <f>IF(Q10=3,"mm","Only when C-saddle")</f>
        <v>Only when C-saddle</v>
      </c>
      <c r="I16" s="31"/>
      <c r="J16" s="31"/>
      <c r="Q16" s="21" t="s">
        <v>115</v>
      </c>
      <c r="T16" s="21">
        <v>1</v>
      </c>
      <c r="U16" s="18" t="s">
        <v>31</v>
      </c>
      <c r="W16" s="18">
        <v>1</v>
      </c>
      <c r="X16" s="18" t="str">
        <f>IF(T15=1,"Top or downward"," ")</f>
        <v>Top or downward</v>
      </c>
      <c r="AA16" s="18" t="str">
        <f>R100</f>
        <v>Horizontal mounting, single unit, carriage sideway</v>
      </c>
      <c r="AH16" s="75"/>
      <c r="AI16" s="75"/>
    </row>
    <row r="17" spans="1:64" ht="15" x14ac:dyDescent="0.25">
      <c r="A17" s="24"/>
      <c r="B17" s="25" t="s">
        <v>28</v>
      </c>
      <c r="C17" s="44">
        <v>2000</v>
      </c>
      <c r="D17" s="23" t="s">
        <v>10</v>
      </c>
      <c r="F17" s="25" t="s">
        <v>29</v>
      </c>
      <c r="G17" s="40">
        <f>C17+V4+U10</f>
        <v>2440</v>
      </c>
      <c r="H17" s="45" t="s">
        <v>10</v>
      </c>
      <c r="I17" s="31"/>
      <c r="J17" s="31"/>
      <c r="Q17" s="21" t="s">
        <v>116</v>
      </c>
      <c r="T17" s="21">
        <v>2</v>
      </c>
      <c r="U17" s="18" t="s">
        <v>32</v>
      </c>
      <c r="W17" s="18">
        <v>2</v>
      </c>
      <c r="X17" s="18" t="str">
        <f>IF(T15=1,"Sideway"," ")</f>
        <v>Sideway</v>
      </c>
      <c r="AH17" s="75"/>
      <c r="AI17" s="75"/>
    </row>
    <row r="18" spans="1:64" ht="15" x14ac:dyDescent="0.25">
      <c r="C18" s="54" t="str">
        <f>IF(C17&gt;U4,"Longer than standard. Check with plant"," ")</f>
        <v xml:space="preserve"> </v>
      </c>
      <c r="E18" s="75"/>
      <c r="F18" s="75"/>
      <c r="I18" s="31"/>
      <c r="J18" s="31"/>
      <c r="Q18" s="21"/>
      <c r="AH18" s="75"/>
      <c r="AI18" s="75"/>
    </row>
    <row r="19" spans="1:64" ht="15" x14ac:dyDescent="0.25">
      <c r="A19" s="24"/>
      <c r="B19" s="24"/>
      <c r="C19" s="46" t="s">
        <v>117</v>
      </c>
      <c r="D19" s="23"/>
      <c r="E19" s="114"/>
      <c r="F19" s="115"/>
      <c r="G19" s="42"/>
      <c r="H19" s="43"/>
      <c r="I19" s="31"/>
      <c r="J19" s="31"/>
      <c r="Q19" s="21"/>
      <c r="X19" s="55" t="s">
        <v>90</v>
      </c>
      <c r="Y19" s="21">
        <v>0.01</v>
      </c>
    </row>
    <row r="20" spans="1:64" ht="15" x14ac:dyDescent="0.25">
      <c r="A20" s="24" t="str">
        <f>IF(Q15=2,"Distance between  linear units"," ")</f>
        <v xml:space="preserve"> </v>
      </c>
      <c r="B20" s="25"/>
      <c r="C20" s="23"/>
      <c r="D20" s="44">
        <v>800</v>
      </c>
      <c r="E20" s="116"/>
      <c r="F20" s="117"/>
      <c r="G20" s="19"/>
      <c r="H20" s="19"/>
      <c r="I20" s="31"/>
      <c r="J20" s="31"/>
      <c r="Q20" s="94" t="s">
        <v>110</v>
      </c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124" t="s">
        <v>129</v>
      </c>
      <c r="AF20" s="124" t="s">
        <v>130</v>
      </c>
      <c r="AH20" s="242" t="s">
        <v>191</v>
      </c>
      <c r="AI20" s="242"/>
    </row>
    <row r="21" spans="1:64" x14ac:dyDescent="0.2">
      <c r="D21" s="47"/>
      <c r="E21" s="31"/>
      <c r="F21" s="28"/>
      <c r="H21" s="31"/>
      <c r="I21" s="19"/>
      <c r="J21" s="31"/>
      <c r="Q21" s="96" t="s">
        <v>86</v>
      </c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8" t="s">
        <v>92</v>
      </c>
      <c r="AC21" s="97"/>
      <c r="AD21" s="97"/>
      <c r="AE21" s="248" t="s">
        <v>131</v>
      </c>
      <c r="AF21" s="242"/>
      <c r="AH21" s="55" t="s">
        <v>192</v>
      </c>
      <c r="AI21" s="18" t="s">
        <v>46</v>
      </c>
    </row>
    <row r="22" spans="1:64" ht="15" x14ac:dyDescent="0.25">
      <c r="A22" s="48"/>
      <c r="B22" s="31"/>
      <c r="C22" s="36" t="s">
        <v>12</v>
      </c>
      <c r="D22" s="49">
        <f>Q15*(AK4+AL4*(G17+IF(Q10=3,G16,0))/100+V10)</f>
        <v>15.135999999999999</v>
      </c>
      <c r="E22" s="31" t="s">
        <v>13</v>
      </c>
      <c r="G22" s="40" t="str">
        <f>IF(M31=0," ",IF(C25/2000&gt;#REF!,"OK","Too much"))</f>
        <v xml:space="preserve"> </v>
      </c>
      <c r="I22" s="31"/>
      <c r="J22" s="31"/>
      <c r="Q22" s="99"/>
      <c r="R22" s="97" t="s">
        <v>87</v>
      </c>
      <c r="S22" s="97" t="s">
        <v>88</v>
      </c>
      <c r="T22" s="97" t="s">
        <v>89</v>
      </c>
      <c r="U22" s="97"/>
      <c r="V22" s="97" t="s">
        <v>91</v>
      </c>
      <c r="W22" s="97"/>
      <c r="X22" s="97"/>
      <c r="Y22" s="100" t="s">
        <v>89</v>
      </c>
      <c r="Z22" s="97"/>
      <c r="AA22" s="97"/>
      <c r="AB22" s="98" t="s">
        <v>93</v>
      </c>
      <c r="AC22" s="97" t="s">
        <v>94</v>
      </c>
      <c r="AD22" s="97"/>
      <c r="AE22" s="124" t="s">
        <v>34</v>
      </c>
      <c r="AF22" s="124" t="s">
        <v>34</v>
      </c>
    </row>
    <row r="23" spans="1:64" x14ac:dyDescent="0.2">
      <c r="E23" s="31"/>
      <c r="F23" s="28" t="str">
        <f>IF(M31=0," ","Deflection")</f>
        <v xml:space="preserve"> </v>
      </c>
      <c r="G23" s="19"/>
      <c r="H23" s="19"/>
      <c r="I23" s="19"/>
      <c r="J23" s="19"/>
      <c r="Q23" s="101" t="s">
        <v>37</v>
      </c>
      <c r="R23" s="98">
        <f>$C$47*10*M48/1000</f>
        <v>0</v>
      </c>
      <c r="S23" s="98">
        <v>0</v>
      </c>
      <c r="T23" s="98">
        <f>Y10*R23+S23+C44</f>
        <v>0</v>
      </c>
      <c r="U23" s="97" t="s">
        <v>40</v>
      </c>
      <c r="V23" s="102">
        <f>T23/AO4*1000*Y19</f>
        <v>0</v>
      </c>
      <c r="W23" s="97"/>
      <c r="X23" s="97"/>
      <c r="Y23" s="98" t="s">
        <v>33</v>
      </c>
      <c r="Z23" s="103">
        <f>C41+(C47+AJ4)*C51+AM4*S10+V31</f>
        <v>16.899999999999999</v>
      </c>
      <c r="AA23" s="97" t="s">
        <v>34</v>
      </c>
      <c r="AB23" s="98">
        <f>AI4</f>
        <v>585</v>
      </c>
      <c r="AC23" s="97"/>
      <c r="AD23" s="97"/>
      <c r="AE23" s="128"/>
      <c r="AF23" s="128"/>
      <c r="AH23" s="151">
        <f>C41+V31</f>
        <v>0</v>
      </c>
      <c r="AI23" s="72">
        <f>AH23+U126*2*G17/1000*C51+(C47+AJ4*S10)*C51</f>
        <v>1.1684000000000001</v>
      </c>
    </row>
    <row r="24" spans="1:64" x14ac:dyDescent="0.2">
      <c r="A24" s="27"/>
      <c r="B24" s="46" t="s">
        <v>14</v>
      </c>
      <c r="C24" s="23"/>
      <c r="D24" s="50"/>
      <c r="E24" s="19"/>
      <c r="F24" s="19"/>
      <c r="H24" s="31"/>
      <c r="I24" s="19"/>
      <c r="J24" s="19"/>
      <c r="Q24" s="101" t="s">
        <v>38</v>
      </c>
      <c r="R24" s="98">
        <f>$C$47*10*M47/1000</f>
        <v>0</v>
      </c>
      <c r="S24" s="98">
        <f>C47*C51*M49/1000</f>
        <v>0</v>
      </c>
      <c r="T24" s="98">
        <f>Y10*R24+S24+C45</f>
        <v>0</v>
      </c>
      <c r="U24" s="97" t="s">
        <v>40</v>
      </c>
      <c r="V24" s="102">
        <f>T24/AN4*1000*Y19</f>
        <v>0</v>
      </c>
      <c r="W24" s="97"/>
      <c r="X24" s="97"/>
      <c r="Y24" s="98" t="s">
        <v>35</v>
      </c>
      <c r="Z24" s="98">
        <f>C42</f>
        <v>0</v>
      </c>
      <c r="AA24" s="97" t="s">
        <v>34</v>
      </c>
      <c r="AB24" s="98">
        <f>Z4</f>
        <v>415</v>
      </c>
      <c r="AC24" s="104">
        <f>Z24/AB24</f>
        <v>0</v>
      </c>
      <c r="AD24" s="97"/>
      <c r="AE24" s="128">
        <v>0</v>
      </c>
      <c r="AF24" s="128">
        <f>Z24/4/S10</f>
        <v>0</v>
      </c>
    </row>
    <row r="25" spans="1:64" x14ac:dyDescent="0.2">
      <c r="A25" s="27"/>
      <c r="B25" s="28"/>
      <c r="C25" s="37"/>
      <c r="D25" s="31"/>
      <c r="I25" s="19"/>
      <c r="J25" s="19"/>
      <c r="Q25" s="101" t="s">
        <v>39</v>
      </c>
      <c r="R25" s="98">
        <v>0</v>
      </c>
      <c r="S25" s="98">
        <f>C47*C51*M48/1000</f>
        <v>0</v>
      </c>
      <c r="T25" s="98">
        <f>Y10*R25+S25+C46</f>
        <v>0</v>
      </c>
      <c r="U25" s="97" t="s">
        <v>40</v>
      </c>
      <c r="V25" s="102">
        <f>T25/AN4*1000*Y19</f>
        <v>0</v>
      </c>
      <c r="W25" s="97"/>
      <c r="X25" s="97"/>
      <c r="Y25" s="98" t="s">
        <v>36</v>
      </c>
      <c r="Z25" s="98">
        <f>C43+C47*10*Y10</f>
        <v>0</v>
      </c>
      <c r="AA25" s="97" t="s">
        <v>34</v>
      </c>
      <c r="AB25" s="98">
        <f>AA4</f>
        <v>730</v>
      </c>
      <c r="AC25" s="104">
        <f>Z25/AB25</f>
        <v>0</v>
      </c>
      <c r="AD25" s="97"/>
      <c r="AE25" s="128">
        <f>Z25/4/S10</f>
        <v>0</v>
      </c>
      <c r="AF25" s="128">
        <v>0</v>
      </c>
    </row>
    <row r="26" spans="1:64" x14ac:dyDescent="0.2">
      <c r="G26" s="26"/>
      <c r="Q26" s="101"/>
      <c r="R26" s="97"/>
      <c r="S26" s="97"/>
      <c r="T26" s="97"/>
      <c r="U26" s="97"/>
      <c r="V26" s="97"/>
      <c r="W26" s="97"/>
      <c r="X26" s="97"/>
      <c r="Y26" s="98" t="s">
        <v>37</v>
      </c>
      <c r="Z26" s="98">
        <f>T23</f>
        <v>0</v>
      </c>
      <c r="AA26" s="97" t="s">
        <v>40</v>
      </c>
      <c r="AB26" s="98">
        <f>AB4</f>
        <v>16</v>
      </c>
      <c r="AC26" s="104">
        <f>Z26/AB26</f>
        <v>0</v>
      </c>
      <c r="AD26" s="97"/>
      <c r="AE26" s="128">
        <f>Z26/AO4*1000/2/S10</f>
        <v>0</v>
      </c>
      <c r="AF26" s="128">
        <v>0</v>
      </c>
    </row>
    <row r="27" spans="1:64" x14ac:dyDescent="0.2">
      <c r="E27" s="26"/>
      <c r="F27" s="26"/>
      <c r="H27" s="26"/>
      <c r="Q27" s="101" t="s">
        <v>35</v>
      </c>
      <c r="R27" s="97"/>
      <c r="S27" s="97"/>
      <c r="T27" s="97"/>
      <c r="U27" s="97"/>
      <c r="V27" s="98">
        <f>Z24*Y19</f>
        <v>0</v>
      </c>
      <c r="W27" s="97"/>
      <c r="X27" s="97"/>
      <c r="Y27" s="98" t="s">
        <v>38</v>
      </c>
      <c r="Z27" s="98">
        <f>T24</f>
        <v>0</v>
      </c>
      <c r="AA27" s="97" t="s">
        <v>40</v>
      </c>
      <c r="AB27" s="98">
        <f>AC4</f>
        <v>87</v>
      </c>
      <c r="AC27" s="104">
        <f>Z27/AB27</f>
        <v>0</v>
      </c>
      <c r="AD27" s="97"/>
      <c r="AE27" s="128">
        <f>(Z27+C47*C50*BF4/1000)/AN4*1000/2/S10</f>
        <v>0</v>
      </c>
      <c r="AF27" s="128">
        <v>0</v>
      </c>
    </row>
    <row r="28" spans="1:64" s="26" customFormat="1" x14ac:dyDescent="0.2">
      <c r="E28" s="18"/>
      <c r="F28" s="18"/>
      <c r="G28" s="18"/>
      <c r="H28" s="18"/>
      <c r="Q28" s="101" t="s">
        <v>36</v>
      </c>
      <c r="R28" s="105"/>
      <c r="S28" s="105"/>
      <c r="T28" s="105"/>
      <c r="U28" s="105"/>
      <c r="V28" s="106">
        <f>Z25*Y19</f>
        <v>0</v>
      </c>
      <c r="W28" s="105"/>
      <c r="X28" s="105"/>
      <c r="Y28" s="106" t="s">
        <v>39</v>
      </c>
      <c r="Z28" s="98">
        <f>T25</f>
        <v>0</v>
      </c>
      <c r="AA28" s="97" t="s">
        <v>40</v>
      </c>
      <c r="AB28" s="106">
        <f>AD4</f>
        <v>50</v>
      </c>
      <c r="AC28" s="104">
        <f>Z28/AB28</f>
        <v>0</v>
      </c>
      <c r="AD28" s="105"/>
      <c r="AE28" s="129">
        <v>0</v>
      </c>
      <c r="AF28" s="128">
        <f>Z28/AN4*1000/4/S10</f>
        <v>0</v>
      </c>
    </row>
    <row r="29" spans="1:64" x14ac:dyDescent="0.2">
      <c r="Q29" s="99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</row>
    <row r="30" spans="1:64" x14ac:dyDescent="0.2">
      <c r="Q30" s="99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 t="s">
        <v>89</v>
      </c>
      <c r="AC30" s="107">
        <f>SUM(AC24:AC29)</f>
        <v>0</v>
      </c>
      <c r="AD30" s="97"/>
      <c r="AE30" s="128">
        <f>SUM(AE23:AE29)</f>
        <v>0</v>
      </c>
      <c r="AF30" s="128">
        <f>SUM(AF23:AF29)</f>
        <v>0</v>
      </c>
    </row>
    <row r="31" spans="1:64" x14ac:dyDescent="0.2">
      <c r="Q31" s="108"/>
      <c r="R31" s="109"/>
      <c r="S31" s="109"/>
      <c r="T31" s="109"/>
      <c r="U31" s="109" t="s">
        <v>89</v>
      </c>
      <c r="V31" s="110">
        <f>SUM(V23:V30)</f>
        <v>0</v>
      </c>
      <c r="W31" s="109" t="s">
        <v>34</v>
      </c>
      <c r="X31" s="109"/>
      <c r="Y31" s="109"/>
      <c r="Z31" s="109"/>
      <c r="AA31" s="109"/>
      <c r="AB31" s="109"/>
      <c r="AC31" s="109"/>
      <c r="AD31" s="109"/>
      <c r="BL31" s="209"/>
    </row>
    <row r="32" spans="1:64" x14ac:dyDescent="0.2"/>
    <row r="33" spans="1:70" x14ac:dyDescent="0.2"/>
    <row r="34" spans="1:70" ht="15" x14ac:dyDescent="0.25">
      <c r="Q34" s="76" t="s">
        <v>107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124" t="s">
        <v>129</v>
      </c>
      <c r="AF34" s="124" t="s">
        <v>130</v>
      </c>
    </row>
    <row r="35" spans="1:70" x14ac:dyDescent="0.2">
      <c r="Q35" s="78" t="s">
        <v>86</v>
      </c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80" t="s">
        <v>92</v>
      </c>
      <c r="AC35" s="79"/>
      <c r="AD35" s="79"/>
      <c r="AE35" s="248" t="s">
        <v>131</v>
      </c>
      <c r="AF35" s="242"/>
    </row>
    <row r="36" spans="1:70" ht="15" x14ac:dyDescent="0.25">
      <c r="Q36" s="81"/>
      <c r="R36" s="79" t="s">
        <v>87</v>
      </c>
      <c r="S36" s="79" t="s">
        <v>88</v>
      </c>
      <c r="T36" s="79" t="s">
        <v>89</v>
      </c>
      <c r="U36" s="79"/>
      <c r="V36" s="79" t="s">
        <v>91</v>
      </c>
      <c r="W36" s="79"/>
      <c r="X36" s="79"/>
      <c r="Y36" s="82" t="s">
        <v>89</v>
      </c>
      <c r="Z36" s="79"/>
      <c r="AA36" s="79"/>
      <c r="AB36" s="80" t="s">
        <v>93</v>
      </c>
      <c r="AC36" s="79" t="s">
        <v>94</v>
      </c>
      <c r="AD36" s="79"/>
      <c r="AE36" s="124" t="s">
        <v>34</v>
      </c>
      <c r="AF36" s="124" t="s">
        <v>34</v>
      </c>
    </row>
    <row r="37" spans="1:70" x14ac:dyDescent="0.2">
      <c r="Q37" s="83" t="s">
        <v>37</v>
      </c>
      <c r="R37" s="80">
        <v>0</v>
      </c>
      <c r="S37" s="80">
        <v>0</v>
      </c>
      <c r="T37" s="80">
        <v>0</v>
      </c>
      <c r="U37" s="79" t="s">
        <v>40</v>
      </c>
      <c r="V37" s="84">
        <v>0</v>
      </c>
      <c r="W37" s="79"/>
      <c r="X37" s="79"/>
      <c r="Y37" s="80" t="s">
        <v>33</v>
      </c>
      <c r="Z37" s="85">
        <f>C41+C46/D20*1000+(C47+AJ4*2)*C51+V45+AM4*2*S10+V38/D20*1000</f>
        <v>33.799999999999997</v>
      </c>
      <c r="AA37" s="79" t="s">
        <v>34</v>
      </c>
      <c r="AB37" s="80">
        <f>2*AI4</f>
        <v>1170</v>
      </c>
      <c r="AC37" s="79"/>
      <c r="AD37" s="79"/>
      <c r="AH37" s="151">
        <f>C41+V45</f>
        <v>0</v>
      </c>
      <c r="AI37" s="72">
        <f>C41+(C47+AJ4*2*S10)*C51+V45+V38/D20*1000+2*U126*G17/1000*2*C51</f>
        <v>2.3368000000000002</v>
      </c>
    </row>
    <row r="38" spans="1:70" ht="15" thickBot="1" x14ac:dyDescent="0.25">
      <c r="Q38" s="83" t="s">
        <v>38</v>
      </c>
      <c r="R38" s="80">
        <f>C47*10*M47/1000</f>
        <v>0</v>
      </c>
      <c r="S38" s="80">
        <f>C47*C51*M49/1000</f>
        <v>0</v>
      </c>
      <c r="T38" s="80">
        <f>Y10*R38+S38+C45</f>
        <v>0</v>
      </c>
      <c r="U38" s="79" t="s">
        <v>40</v>
      </c>
      <c r="V38" s="84">
        <f>T38/AN4*1000*Y19</f>
        <v>0</v>
      </c>
      <c r="W38" s="79"/>
      <c r="X38" s="79"/>
      <c r="Y38" s="80" t="s">
        <v>35</v>
      </c>
      <c r="Z38" s="80">
        <f>C42</f>
        <v>0</v>
      </c>
      <c r="AA38" s="79" t="s">
        <v>34</v>
      </c>
      <c r="AB38" s="80">
        <f>Z4*1</f>
        <v>415</v>
      </c>
      <c r="AC38" s="86">
        <f>Z38/AB38</f>
        <v>0</v>
      </c>
      <c r="AD38" s="79"/>
      <c r="AE38" s="18">
        <v>0</v>
      </c>
      <c r="AF38" s="18">
        <f>Z38/4/S10</f>
        <v>0</v>
      </c>
    </row>
    <row r="39" spans="1:70" x14ac:dyDescent="0.2">
      <c r="Q39" s="83" t="s">
        <v>39</v>
      </c>
      <c r="R39" s="80">
        <v>0</v>
      </c>
      <c r="S39" s="80">
        <f>C47*C51*M48/1000</f>
        <v>0</v>
      </c>
      <c r="T39" s="80">
        <f>Y10*R39+S39+C46</f>
        <v>0</v>
      </c>
      <c r="U39" s="79" t="s">
        <v>40</v>
      </c>
      <c r="V39" s="84">
        <v>0</v>
      </c>
      <c r="W39" s="79"/>
      <c r="X39" s="79"/>
      <c r="Y39" s="80" t="s">
        <v>36</v>
      </c>
      <c r="Z39" s="80">
        <f>C43+C47*10*Y10+C44/D20*1000*2</f>
        <v>0</v>
      </c>
      <c r="AA39" s="79" t="s">
        <v>34</v>
      </c>
      <c r="AB39" s="80">
        <f>AA4*2</f>
        <v>1460</v>
      </c>
      <c r="AC39" s="86">
        <f>Z39/AB39</f>
        <v>0</v>
      </c>
      <c r="AD39" s="79"/>
      <c r="AE39" s="204">
        <f>(C43/2+C47*10*(D20/2+M48)/D20+C44/D20*1000)/4/S10</f>
        <v>0</v>
      </c>
      <c r="AJ39" s="202"/>
      <c r="BL39" s="229"/>
      <c r="BM39" s="230"/>
      <c r="BN39" s="230"/>
      <c r="BO39" s="230"/>
      <c r="BP39" s="230"/>
      <c r="BQ39" s="230"/>
      <c r="BR39" s="231"/>
    </row>
    <row r="40" spans="1:70" ht="15" x14ac:dyDescent="0.25">
      <c r="Q40" s="83"/>
      <c r="R40" s="79"/>
      <c r="S40" s="79"/>
      <c r="T40" s="79"/>
      <c r="U40" s="79"/>
      <c r="V40" s="79"/>
      <c r="W40" s="79"/>
      <c r="X40" s="79"/>
      <c r="Y40" s="80" t="s">
        <v>37</v>
      </c>
      <c r="Z40" s="80">
        <f>T37</f>
        <v>0</v>
      </c>
      <c r="AA40" s="79" t="s">
        <v>40</v>
      </c>
      <c r="AB40" s="80"/>
      <c r="AC40" s="86"/>
      <c r="AD40" s="130" t="s">
        <v>104</v>
      </c>
      <c r="BL40" s="232" t="s">
        <v>357</v>
      </c>
      <c r="BM40" s="233"/>
      <c r="BN40" s="233"/>
      <c r="BO40" s="233"/>
      <c r="BP40" s="233"/>
      <c r="BQ40" s="233"/>
      <c r="BR40" s="234"/>
    </row>
    <row r="41" spans="1:70" ht="15" x14ac:dyDescent="0.25">
      <c r="B41" s="21" t="s">
        <v>33</v>
      </c>
      <c r="C41" s="44">
        <v>0</v>
      </c>
      <c r="D41" s="18" t="s">
        <v>34</v>
      </c>
      <c r="H41" s="118" t="str">
        <f>IF(T15=2," ","Orientation of carriage")</f>
        <v>Orientation of carriage</v>
      </c>
      <c r="Q41" s="83" t="s">
        <v>35</v>
      </c>
      <c r="R41" s="79"/>
      <c r="S41" s="79"/>
      <c r="T41" s="79"/>
      <c r="U41" s="79"/>
      <c r="V41" s="80">
        <f>C42*Y19</f>
        <v>0</v>
      </c>
      <c r="W41" s="79"/>
      <c r="X41" s="79"/>
      <c r="Y41" s="80" t="s">
        <v>38</v>
      </c>
      <c r="Z41" s="80">
        <f>T38</f>
        <v>0</v>
      </c>
      <c r="AA41" s="79" t="s">
        <v>40</v>
      </c>
      <c r="AB41" s="80">
        <f>AC4*2</f>
        <v>174</v>
      </c>
      <c r="AC41" s="86">
        <f>Z41/AB41</f>
        <v>0</v>
      </c>
      <c r="AD41" s="79"/>
      <c r="AE41" s="143">
        <f>(Z41+C47*C50*BF4/1000)/AN4*1000/2/2/S10</f>
        <v>0</v>
      </c>
      <c r="AH41" s="54"/>
      <c r="BL41" s="235" t="s">
        <v>358</v>
      </c>
      <c r="BM41" s="233"/>
      <c r="BN41" s="233"/>
      <c r="BO41" s="233"/>
      <c r="BP41" s="233"/>
      <c r="BQ41" s="233"/>
      <c r="BR41" s="234"/>
    </row>
    <row r="42" spans="1:70" x14ac:dyDescent="0.2">
      <c r="B42" s="21" t="s">
        <v>35</v>
      </c>
      <c r="C42" s="44">
        <v>0</v>
      </c>
      <c r="D42" s="18" t="s">
        <v>34</v>
      </c>
      <c r="Q42" s="83" t="s">
        <v>36</v>
      </c>
      <c r="R42" s="87"/>
      <c r="S42" s="87"/>
      <c r="T42" s="87"/>
      <c r="U42" s="87"/>
      <c r="V42" s="88">
        <f>(C47*10+C42+C44/D20*1000+T38/AN4*1000)*Y19</f>
        <v>0</v>
      </c>
      <c r="W42" s="87"/>
      <c r="X42" s="87"/>
      <c r="Y42" s="89" t="s">
        <v>39</v>
      </c>
      <c r="Z42" s="80">
        <f>T39</f>
        <v>0</v>
      </c>
      <c r="AA42" s="79" t="s">
        <v>40</v>
      </c>
      <c r="AB42" s="89"/>
      <c r="AC42" s="86"/>
      <c r="AD42" s="130" t="s">
        <v>103</v>
      </c>
      <c r="BL42" s="235" t="s">
        <v>355</v>
      </c>
      <c r="BM42" s="233"/>
      <c r="BN42" s="233"/>
      <c r="BO42" s="233"/>
      <c r="BP42" s="233"/>
      <c r="BQ42" s="233"/>
      <c r="BR42" s="234"/>
    </row>
    <row r="43" spans="1:70" ht="15" thickBot="1" x14ac:dyDescent="0.25">
      <c r="B43" s="21" t="s">
        <v>36</v>
      </c>
      <c r="C43" s="44">
        <v>0</v>
      </c>
      <c r="D43" s="18" t="s">
        <v>34</v>
      </c>
      <c r="Q43" s="81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BL43" s="236"/>
      <c r="BM43" s="237"/>
      <c r="BN43" s="237"/>
      <c r="BO43" s="237"/>
      <c r="BP43" s="237"/>
      <c r="BQ43" s="237"/>
      <c r="BR43" s="238"/>
    </row>
    <row r="44" spans="1:70" x14ac:dyDescent="0.2">
      <c r="B44" s="21" t="s">
        <v>37</v>
      </c>
      <c r="C44" s="44">
        <v>0</v>
      </c>
      <c r="D44" s="18" t="s">
        <v>40</v>
      </c>
      <c r="Q44" s="81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 t="s">
        <v>89</v>
      </c>
      <c r="AC44" s="90">
        <f>SUM(AC38:AC43)</f>
        <v>0</v>
      </c>
      <c r="AD44" s="79"/>
      <c r="AE44" s="128">
        <f>AE41+AE39</f>
        <v>0</v>
      </c>
      <c r="AF44" s="18">
        <f>AF38</f>
        <v>0</v>
      </c>
    </row>
    <row r="45" spans="1:70" x14ac:dyDescent="0.2">
      <c r="B45" s="21" t="s">
        <v>38</v>
      </c>
      <c r="C45" s="44">
        <v>0</v>
      </c>
      <c r="D45" s="18" t="s">
        <v>40</v>
      </c>
      <c r="Q45" s="91"/>
      <c r="R45" s="92"/>
      <c r="S45" s="92"/>
      <c r="T45" s="92"/>
      <c r="U45" s="92" t="s">
        <v>89</v>
      </c>
      <c r="V45" s="93">
        <f>SUM(V37:V44)</f>
        <v>0</v>
      </c>
      <c r="W45" s="92" t="s">
        <v>34</v>
      </c>
      <c r="X45" s="92"/>
      <c r="Y45" s="92"/>
      <c r="Z45" s="92"/>
      <c r="AA45" s="92"/>
      <c r="AB45" s="92"/>
      <c r="AC45" s="92"/>
      <c r="AD45" s="92"/>
    </row>
    <row r="46" spans="1:70" x14ac:dyDescent="0.2">
      <c r="B46" s="21" t="s">
        <v>39</v>
      </c>
      <c r="C46" s="44">
        <v>0</v>
      </c>
      <c r="D46" s="18" t="s">
        <v>40</v>
      </c>
      <c r="M46" s="210" t="s">
        <v>325</v>
      </c>
      <c r="O46" s="75"/>
      <c r="P46" s="75"/>
    </row>
    <row r="47" spans="1:70" ht="15" x14ac:dyDescent="0.25">
      <c r="B47" s="55" t="s">
        <v>41</v>
      </c>
      <c r="C47" s="44">
        <v>0</v>
      </c>
      <c r="D47" s="18" t="s">
        <v>124</v>
      </c>
      <c r="H47" s="21" t="s">
        <v>42</v>
      </c>
      <c r="I47" s="44">
        <v>0</v>
      </c>
      <c r="J47" s="18" t="s">
        <v>10</v>
      </c>
      <c r="M47" s="213">
        <f>ABS(I47)</f>
        <v>0</v>
      </c>
      <c r="O47" s="75"/>
      <c r="P47" s="75"/>
      <c r="Q47" s="94" t="s">
        <v>105</v>
      </c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124" t="s">
        <v>129</v>
      </c>
      <c r="AF47" s="124" t="s">
        <v>130</v>
      </c>
    </row>
    <row r="48" spans="1:70" x14ac:dyDescent="0.2">
      <c r="A48" s="18" t="s">
        <v>95</v>
      </c>
      <c r="H48" s="21" t="s">
        <v>43</v>
      </c>
      <c r="I48" s="44">
        <v>0</v>
      </c>
      <c r="J48" s="18" t="s">
        <v>10</v>
      </c>
      <c r="M48" s="213">
        <f t="shared" ref="M48:M49" si="0">ABS(I48)</f>
        <v>0</v>
      </c>
      <c r="O48" s="75"/>
      <c r="P48" s="75"/>
      <c r="Q48" s="96" t="s">
        <v>86</v>
      </c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 t="s">
        <v>92</v>
      </c>
      <c r="AC48" s="97"/>
      <c r="AD48" s="97"/>
      <c r="AE48" s="248" t="s">
        <v>131</v>
      </c>
      <c r="AF48" s="242"/>
    </row>
    <row r="49" spans="1:36" ht="15" x14ac:dyDescent="0.25">
      <c r="H49" s="21" t="s">
        <v>44</v>
      </c>
      <c r="I49" s="44">
        <v>0</v>
      </c>
      <c r="J49" s="18" t="s">
        <v>10</v>
      </c>
      <c r="M49" s="213">
        <f t="shared" si="0"/>
        <v>0</v>
      </c>
      <c r="O49" s="75"/>
      <c r="P49" s="75"/>
      <c r="Q49" s="99"/>
      <c r="R49" s="97" t="s">
        <v>87</v>
      </c>
      <c r="S49" s="97" t="s">
        <v>88</v>
      </c>
      <c r="T49" s="97" t="s">
        <v>89</v>
      </c>
      <c r="U49" s="97"/>
      <c r="V49" s="97" t="s">
        <v>91</v>
      </c>
      <c r="W49" s="97"/>
      <c r="X49" s="97"/>
      <c r="Y49" s="100" t="s">
        <v>89</v>
      </c>
      <c r="Z49" s="97"/>
      <c r="AA49" s="97"/>
      <c r="AB49" s="98" t="s">
        <v>93</v>
      </c>
      <c r="AC49" s="97" t="s">
        <v>94</v>
      </c>
      <c r="AD49" s="97"/>
      <c r="AE49" s="124" t="s">
        <v>34</v>
      </c>
      <c r="AF49" s="124" t="s">
        <v>34</v>
      </c>
    </row>
    <row r="50" spans="1:36" ht="15" x14ac:dyDescent="0.25">
      <c r="B50" s="55" t="s">
        <v>45</v>
      </c>
      <c r="C50" s="44">
        <v>1</v>
      </c>
      <c r="D50" s="18" t="s">
        <v>47</v>
      </c>
      <c r="E50" s="54" t="str">
        <f>IF(C50&gt;AG4,"Too high speed"," ")</f>
        <v xml:space="preserve"> </v>
      </c>
      <c r="O50" s="75"/>
      <c r="P50" s="75"/>
      <c r="Q50" s="101" t="s">
        <v>37</v>
      </c>
      <c r="R50" s="98">
        <f>C47*10*M49/1000</f>
        <v>0</v>
      </c>
      <c r="S50" s="98">
        <v>0</v>
      </c>
      <c r="T50" s="98">
        <f>Y10*R50+C44</f>
        <v>0</v>
      </c>
      <c r="U50" s="97" t="s">
        <v>40</v>
      </c>
      <c r="V50" s="102">
        <f>T50/AO4*1000*Y19</f>
        <v>0</v>
      </c>
      <c r="W50" s="97"/>
      <c r="X50" s="97"/>
      <c r="Y50" s="98" t="s">
        <v>33</v>
      </c>
      <c r="Z50" s="103">
        <f>C41+(C47+AJ4)*C51+AM4*S10+V58</f>
        <v>16.899999999999999</v>
      </c>
      <c r="AA50" s="97" t="s">
        <v>34</v>
      </c>
      <c r="AB50" s="98">
        <f>AI4</f>
        <v>585</v>
      </c>
      <c r="AC50" s="97"/>
      <c r="AD50" s="97"/>
      <c r="AF50" s="128"/>
      <c r="AH50" s="151">
        <f>C41+V58</f>
        <v>0</v>
      </c>
      <c r="AI50" s="72">
        <f>Z50+U126*2*G17/1000*C51</f>
        <v>17.168399999999998</v>
      </c>
    </row>
    <row r="51" spans="1:36" ht="15" x14ac:dyDescent="0.25">
      <c r="B51" s="55" t="s">
        <v>46</v>
      </c>
      <c r="C51" s="44">
        <v>1</v>
      </c>
      <c r="D51" s="18" t="s">
        <v>48</v>
      </c>
      <c r="E51" s="54" t="str">
        <f>IF(C51&gt;40,"Too high acceleration"," ")</f>
        <v xml:space="preserve"> </v>
      </c>
      <c r="O51" s="75"/>
      <c r="P51" s="75"/>
      <c r="Q51" s="101" t="s">
        <v>38</v>
      </c>
      <c r="R51" s="98">
        <v>0</v>
      </c>
      <c r="S51" s="98">
        <f>C47*C51*M49/1000</f>
        <v>0</v>
      </c>
      <c r="T51" s="98">
        <f>S51+C45</f>
        <v>0</v>
      </c>
      <c r="U51" s="97" t="s">
        <v>40</v>
      </c>
      <c r="V51" s="102">
        <f>T51/AN4*1000*Y19</f>
        <v>0</v>
      </c>
      <c r="W51" s="97"/>
      <c r="X51" s="97"/>
      <c r="Y51" s="98" t="s">
        <v>35</v>
      </c>
      <c r="Z51" s="98">
        <f>C42+Y10*C47*10</f>
        <v>0</v>
      </c>
      <c r="AA51" s="97" t="s">
        <v>34</v>
      </c>
      <c r="AB51" s="98">
        <f>Z4</f>
        <v>415</v>
      </c>
      <c r="AC51" s="104">
        <f>Z51/AB51</f>
        <v>0</v>
      </c>
      <c r="AD51" s="97"/>
      <c r="AF51" s="128">
        <f>Z51/4/S10</f>
        <v>0</v>
      </c>
    </row>
    <row r="52" spans="1:36" x14ac:dyDescent="0.2">
      <c r="O52" s="75"/>
      <c r="P52" s="75"/>
      <c r="Q52" s="101" t="s">
        <v>39</v>
      </c>
      <c r="R52" s="98">
        <f>C47*10*M47/1000</f>
        <v>0</v>
      </c>
      <c r="S52" s="98">
        <f>C47*C51*M48/1000</f>
        <v>0</v>
      </c>
      <c r="T52" s="98">
        <f>Y10*R52+S52+C46</f>
        <v>0</v>
      </c>
      <c r="U52" s="97" t="s">
        <v>40</v>
      </c>
      <c r="V52" s="102">
        <f>T52/AN4*1000*Y19</f>
        <v>0</v>
      </c>
      <c r="W52" s="97"/>
      <c r="X52" s="97"/>
      <c r="Y52" s="98" t="s">
        <v>36</v>
      </c>
      <c r="Z52" s="98">
        <f>C43</f>
        <v>0</v>
      </c>
      <c r="AA52" s="97" t="s">
        <v>34</v>
      </c>
      <c r="AB52" s="98">
        <f>AA4</f>
        <v>730</v>
      </c>
      <c r="AC52" s="104">
        <f>Z52/AB52</f>
        <v>0</v>
      </c>
      <c r="AD52" s="97"/>
      <c r="AE52" s="128">
        <f>Z52/4/S10</f>
        <v>0</v>
      </c>
      <c r="AF52" s="128"/>
    </row>
    <row r="53" spans="1:36" ht="15" x14ac:dyDescent="0.25">
      <c r="A53" s="18" t="s">
        <v>62</v>
      </c>
      <c r="C53" s="44">
        <v>1500</v>
      </c>
      <c r="D53" s="18" t="s">
        <v>63</v>
      </c>
      <c r="F53" s="54" t="str">
        <f>IF(C53&gt;C17,"This is longer than stroke of unit !"," ")</f>
        <v xml:space="preserve"> </v>
      </c>
      <c r="O53" s="75"/>
      <c r="P53" s="75"/>
      <c r="Q53" s="101"/>
      <c r="R53" s="97"/>
      <c r="S53" s="97"/>
      <c r="T53" s="97"/>
      <c r="U53" s="97"/>
      <c r="V53" s="97"/>
      <c r="W53" s="97"/>
      <c r="X53" s="97"/>
      <c r="Y53" s="98" t="s">
        <v>37</v>
      </c>
      <c r="Z53" s="98">
        <f>T50</f>
        <v>0</v>
      </c>
      <c r="AA53" s="97" t="s">
        <v>40</v>
      </c>
      <c r="AB53" s="98">
        <f>AB4</f>
        <v>16</v>
      </c>
      <c r="AC53" s="104">
        <f>Z53/AB53</f>
        <v>0</v>
      </c>
      <c r="AD53" s="97"/>
      <c r="AE53" s="128">
        <f>(Z53+C47*10*BF4/1000)/AO4*1000/2/S10</f>
        <v>0</v>
      </c>
      <c r="AF53" s="128"/>
    </row>
    <row r="54" spans="1:36" x14ac:dyDescent="0.2">
      <c r="O54" s="75"/>
      <c r="P54" s="75"/>
      <c r="Q54" s="101" t="s">
        <v>35</v>
      </c>
      <c r="R54" s="97"/>
      <c r="S54" s="97"/>
      <c r="T54" s="97"/>
      <c r="U54" s="97"/>
      <c r="V54" s="98">
        <f>Z51*Y19</f>
        <v>0</v>
      </c>
      <c r="W54" s="97"/>
      <c r="X54" s="97"/>
      <c r="Y54" s="98" t="s">
        <v>38</v>
      </c>
      <c r="Z54" s="98">
        <f>T51</f>
        <v>0</v>
      </c>
      <c r="AA54" s="97" t="s">
        <v>40</v>
      </c>
      <c r="AB54" s="98">
        <f>AC4</f>
        <v>87</v>
      </c>
      <c r="AC54" s="104">
        <f>Z54/AB54</f>
        <v>0</v>
      </c>
      <c r="AD54" s="97"/>
      <c r="AE54" s="128">
        <f>(Z54+C47*C50*BF4/1000)/AN4*1000/2/S10</f>
        <v>0</v>
      </c>
      <c r="AF54" s="128"/>
    </row>
    <row r="55" spans="1:36" x14ac:dyDescent="0.2">
      <c r="A55" s="18" t="s">
        <v>64</v>
      </c>
      <c r="O55" s="75"/>
      <c r="P55" s="75"/>
      <c r="Q55" s="101" t="s">
        <v>36</v>
      </c>
      <c r="R55" s="105"/>
      <c r="S55" s="105"/>
      <c r="T55" s="105"/>
      <c r="U55" s="105"/>
      <c r="V55" s="106">
        <f>C43*Y19</f>
        <v>0</v>
      </c>
      <c r="W55" s="105"/>
      <c r="X55" s="105"/>
      <c r="Y55" s="106" t="s">
        <v>39</v>
      </c>
      <c r="Z55" s="98">
        <f>T52</f>
        <v>0</v>
      </c>
      <c r="AA55" s="97" t="s">
        <v>40</v>
      </c>
      <c r="AB55" s="106">
        <f>AD4</f>
        <v>50</v>
      </c>
      <c r="AC55" s="104">
        <f>Z55/AB55</f>
        <v>0</v>
      </c>
      <c r="AD55" s="105"/>
      <c r="AF55" s="128">
        <f>Z55/AN4*1000/2/S10</f>
        <v>0</v>
      </c>
    </row>
    <row r="56" spans="1:36" ht="15" x14ac:dyDescent="0.25">
      <c r="C56" s="71">
        <f>Blad2!C14</f>
        <v>2.5</v>
      </c>
      <c r="D56" s="18" t="s">
        <v>65</v>
      </c>
      <c r="O56" s="75"/>
      <c r="P56" s="75"/>
      <c r="Q56" s="99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36" x14ac:dyDescent="0.2">
      <c r="O57" s="75"/>
      <c r="P57" s="75"/>
      <c r="Q57" s="99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 t="s">
        <v>89</v>
      </c>
      <c r="AC57" s="107">
        <f>SUM(AC51:AC56)</f>
        <v>0</v>
      </c>
      <c r="AD57" s="97"/>
      <c r="AE57" s="128">
        <f>SUM(AE52:AE56)</f>
        <v>0</v>
      </c>
      <c r="AF57" s="128">
        <f>AF51+AF55</f>
        <v>0</v>
      </c>
    </row>
    <row r="58" spans="1:36" ht="15" x14ac:dyDescent="0.25">
      <c r="A58" s="54" t="str">
        <f>Blad2!A17</f>
        <v xml:space="preserve"> </v>
      </c>
      <c r="B58" s="54"/>
      <c r="C58" s="54"/>
      <c r="D58" s="54"/>
      <c r="O58" s="75"/>
      <c r="P58" s="75"/>
      <c r="Q58" s="108"/>
      <c r="R58" s="109"/>
      <c r="S58" s="109"/>
      <c r="T58" s="109"/>
      <c r="U58" s="109" t="s">
        <v>89</v>
      </c>
      <c r="V58" s="110">
        <f>SUM(V50:V57)</f>
        <v>0</v>
      </c>
      <c r="W58" s="109" t="s">
        <v>34</v>
      </c>
      <c r="X58" s="109"/>
      <c r="Y58" s="109"/>
      <c r="Z58" s="109"/>
      <c r="AA58" s="109"/>
      <c r="AB58" s="109"/>
      <c r="AC58" s="109"/>
      <c r="AD58" s="109"/>
    </row>
    <row r="59" spans="1:36" ht="15" x14ac:dyDescent="0.25">
      <c r="A59" s="54" t="str">
        <f>Blad2!A18</f>
        <v xml:space="preserve"> </v>
      </c>
      <c r="B59" s="54"/>
      <c r="C59" s="70" t="str">
        <f>Blad2!C18</f>
        <v xml:space="preserve"> </v>
      </c>
      <c r="D59" s="69" t="str">
        <f>Blad2!D18</f>
        <v xml:space="preserve"> </v>
      </c>
      <c r="O59" s="75"/>
      <c r="P59" s="75"/>
    </row>
    <row r="60" spans="1:36" ht="15" x14ac:dyDescent="0.25">
      <c r="O60" s="75"/>
      <c r="P60" s="75"/>
      <c r="Q60" s="94" t="s">
        <v>106</v>
      </c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124" t="s">
        <v>129</v>
      </c>
      <c r="AF60" s="124" t="s">
        <v>130</v>
      </c>
      <c r="AH60" s="152"/>
      <c r="AI60" s="75"/>
    </row>
    <row r="61" spans="1:36" x14ac:dyDescent="0.2">
      <c r="P61" s="75"/>
      <c r="Q61" s="96" t="s">
        <v>86</v>
      </c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8" t="s">
        <v>92</v>
      </c>
      <c r="AC61" s="97"/>
      <c r="AD61" s="97"/>
      <c r="AE61" s="248" t="s">
        <v>131</v>
      </c>
      <c r="AF61" s="242"/>
      <c r="AH61" s="75"/>
      <c r="AI61" s="75"/>
    </row>
    <row r="62" spans="1:36" ht="15" x14ac:dyDescent="0.25">
      <c r="P62" s="75"/>
      <c r="Q62" s="99"/>
      <c r="R62" s="97" t="s">
        <v>87</v>
      </c>
      <c r="S62" s="97" t="s">
        <v>88</v>
      </c>
      <c r="T62" s="97" t="s">
        <v>89</v>
      </c>
      <c r="U62" s="97"/>
      <c r="V62" s="97" t="s">
        <v>91</v>
      </c>
      <c r="W62" s="97"/>
      <c r="X62" s="97"/>
      <c r="Y62" s="100" t="s">
        <v>89</v>
      </c>
      <c r="Z62" s="97"/>
      <c r="AA62" s="97"/>
      <c r="AB62" s="98" t="s">
        <v>93</v>
      </c>
      <c r="AC62" s="97" t="s">
        <v>94</v>
      </c>
      <c r="AD62" s="97"/>
      <c r="AE62" s="124" t="s">
        <v>34</v>
      </c>
      <c r="AF62" s="124" t="s">
        <v>34</v>
      </c>
    </row>
    <row r="63" spans="1:36" x14ac:dyDescent="0.2">
      <c r="P63" s="75"/>
      <c r="Q63" s="101" t="s">
        <v>37</v>
      </c>
      <c r="R63" s="98">
        <v>0</v>
      </c>
      <c r="S63" s="98">
        <v>0</v>
      </c>
      <c r="T63" s="98">
        <v>0</v>
      </c>
      <c r="U63" s="97" t="s">
        <v>40</v>
      </c>
      <c r="V63" s="102">
        <v>0</v>
      </c>
      <c r="W63" s="97"/>
      <c r="X63" s="97"/>
      <c r="Y63" s="98" t="s">
        <v>33</v>
      </c>
      <c r="Z63" s="103">
        <f>C41+V71+T65/D20*1000+(C47+AJ4*2*S10)*C51</f>
        <v>1.8</v>
      </c>
      <c r="AA63" s="97" t="s">
        <v>34</v>
      </c>
      <c r="AB63" s="98">
        <f>AI4*2</f>
        <v>1170</v>
      </c>
      <c r="AC63" s="97"/>
      <c r="AD63" s="97"/>
      <c r="AH63" s="151">
        <f>C41+V71</f>
        <v>0</v>
      </c>
      <c r="AI63" s="72">
        <f>AH63+(C47+AJ4*2*S10)*C51+U126*G17/1000*2*2*C51</f>
        <v>2.3368000000000002</v>
      </c>
      <c r="AJ63" s="18">
        <f>IF(Q10=3,G16,AN4)</f>
        <v>198</v>
      </c>
    </row>
    <row r="64" spans="1:36" x14ac:dyDescent="0.2">
      <c r="P64" s="75"/>
      <c r="Q64" s="101" t="s">
        <v>38</v>
      </c>
      <c r="R64" s="98">
        <v>0</v>
      </c>
      <c r="S64" s="98">
        <f>C47*C51*M49/1000</f>
        <v>0</v>
      </c>
      <c r="T64" s="98">
        <f>C45+S64</f>
        <v>0</v>
      </c>
      <c r="U64" s="97" t="s">
        <v>40</v>
      </c>
      <c r="V64" s="102">
        <f>T64/AN4*1000*Y19</f>
        <v>0</v>
      </c>
      <c r="W64" s="97"/>
      <c r="X64" s="97"/>
      <c r="Y64" s="98" t="s">
        <v>35</v>
      </c>
      <c r="Z64" s="98">
        <f>C42+C47*10*Y10</f>
        <v>0</v>
      </c>
      <c r="AA64" s="97" t="s">
        <v>34</v>
      </c>
      <c r="AB64" s="98">
        <f>Z4</f>
        <v>415</v>
      </c>
      <c r="AC64" s="104">
        <f>Z64/AB64</f>
        <v>0</v>
      </c>
      <c r="AD64" s="97"/>
      <c r="AE64" s="18">
        <v>0</v>
      </c>
      <c r="AF64" s="112">
        <f>Z64/4/S10+Z68/AJ63*1000/2/S10</f>
        <v>0</v>
      </c>
    </row>
    <row r="65" spans="1:35" x14ac:dyDescent="0.2">
      <c r="P65" s="75"/>
      <c r="Q65" s="101" t="s">
        <v>39</v>
      </c>
      <c r="R65" s="98">
        <f>C47*10*M47/1000</f>
        <v>0</v>
      </c>
      <c r="S65" s="98">
        <f>C47*C51*M48/1000</f>
        <v>0</v>
      </c>
      <c r="T65" s="98">
        <f>Y10*R65+S65+C46</f>
        <v>0</v>
      </c>
      <c r="U65" s="97" t="s">
        <v>40</v>
      </c>
      <c r="V65" s="102">
        <v>0</v>
      </c>
      <c r="W65" s="97"/>
      <c r="X65" s="97"/>
      <c r="Y65" s="98" t="s">
        <v>36</v>
      </c>
      <c r="Z65" s="103">
        <f>C43+Y10*C47*10*M49/1000/D20*1000+C44/D20*1000</f>
        <v>0</v>
      </c>
      <c r="AA65" s="97" t="s">
        <v>34</v>
      </c>
      <c r="AB65" s="98">
        <f>AA4*2</f>
        <v>1460</v>
      </c>
      <c r="AC65" s="104">
        <f>Z65/AB65</f>
        <v>0</v>
      </c>
      <c r="AD65" s="97"/>
      <c r="AE65" s="128">
        <f>(Z65+C47*10*BF4/D20)/4/S10</f>
        <v>0</v>
      </c>
    </row>
    <row r="66" spans="1:35" x14ac:dyDescent="0.2">
      <c r="P66" s="75"/>
      <c r="Q66" s="101"/>
      <c r="R66" s="97"/>
      <c r="S66" s="97"/>
      <c r="T66" s="97"/>
      <c r="U66" s="97"/>
      <c r="V66" s="97"/>
      <c r="W66" s="97"/>
      <c r="X66" s="97"/>
      <c r="Y66" s="98" t="s">
        <v>37</v>
      </c>
      <c r="Z66" s="98">
        <v>0</v>
      </c>
      <c r="AA66" s="97" t="s">
        <v>40</v>
      </c>
      <c r="AB66" s="98">
        <f>AC17</f>
        <v>0</v>
      </c>
      <c r="AC66" s="104">
        <v>0</v>
      </c>
      <c r="AD66" s="131" t="s">
        <v>104</v>
      </c>
    </row>
    <row r="67" spans="1:35" x14ac:dyDescent="0.2">
      <c r="M67" s="97"/>
      <c r="P67" s="75"/>
      <c r="Q67" s="101" t="s">
        <v>35</v>
      </c>
      <c r="R67" s="97"/>
      <c r="S67" s="97"/>
      <c r="T67" s="97"/>
      <c r="U67" s="97"/>
      <c r="V67" s="98">
        <f>Z64*Y19</f>
        <v>0</v>
      </c>
      <c r="W67" s="97"/>
      <c r="X67" s="97"/>
      <c r="Y67" s="98" t="s">
        <v>38</v>
      </c>
      <c r="Z67" s="98">
        <f>T64</f>
        <v>0</v>
      </c>
      <c r="AA67" s="97" t="s">
        <v>40</v>
      </c>
      <c r="AB67" s="98">
        <f>AC4*2</f>
        <v>174</v>
      </c>
      <c r="AC67" s="104">
        <f>Z67/AB67</f>
        <v>0</v>
      </c>
      <c r="AD67" s="97"/>
      <c r="AE67" s="128">
        <f>(Z67+C47*C50*BF4/1000)/AN4/4/S10*1000</f>
        <v>0</v>
      </c>
    </row>
    <row r="68" spans="1:35" x14ac:dyDescent="0.2">
      <c r="P68" s="75"/>
      <c r="Q68" s="101" t="s">
        <v>36</v>
      </c>
      <c r="R68" s="105"/>
      <c r="S68" s="105"/>
      <c r="T68" s="105"/>
      <c r="U68" s="105"/>
      <c r="V68" s="106">
        <f>(Y10*C47*10*M49/1000/D20*1000+C43)*Y19</f>
        <v>0</v>
      </c>
      <c r="W68" s="105"/>
      <c r="X68" s="105"/>
      <c r="Y68" s="106" t="s">
        <v>39</v>
      </c>
      <c r="Z68" s="98">
        <f>T65</f>
        <v>0</v>
      </c>
      <c r="AA68" s="97" t="s">
        <v>40</v>
      </c>
      <c r="AB68" s="106">
        <f>AE17</f>
        <v>0</v>
      </c>
      <c r="AC68" s="104">
        <v>0</v>
      </c>
      <c r="AD68" s="131" t="s">
        <v>103</v>
      </c>
    </row>
    <row r="69" spans="1:35" ht="15" x14ac:dyDescent="0.25">
      <c r="A69" s="118" t="str">
        <f>R100</f>
        <v>Horizontal mounting, single unit, carriage sideway</v>
      </c>
      <c r="P69" s="75"/>
      <c r="Q69" s="99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</row>
    <row r="70" spans="1:35" ht="15" x14ac:dyDescent="0.25">
      <c r="F70" s="54"/>
      <c r="P70" s="75"/>
      <c r="Q70" s="99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 t="s">
        <v>89</v>
      </c>
      <c r="AC70" s="107">
        <f>SUM(AC64:AC69)</f>
        <v>0</v>
      </c>
      <c r="AD70" s="97"/>
      <c r="AE70" s="128">
        <f>AE65+AE67</f>
        <v>0</v>
      </c>
      <c r="AF70" s="18">
        <f>AF64</f>
        <v>0</v>
      </c>
    </row>
    <row r="71" spans="1:35" ht="15" x14ac:dyDescent="0.25">
      <c r="B71" s="73" t="s">
        <v>98</v>
      </c>
      <c r="D71" s="18" t="s">
        <v>99</v>
      </c>
      <c r="P71" s="75"/>
      <c r="Q71" s="108"/>
      <c r="R71" s="109"/>
      <c r="S71" s="109"/>
      <c r="T71" s="109"/>
      <c r="U71" s="109" t="s">
        <v>89</v>
      </c>
      <c r="V71" s="110">
        <f>SUM(V63:V70)</f>
        <v>0</v>
      </c>
      <c r="W71" s="109" t="s">
        <v>34</v>
      </c>
      <c r="X71" s="109"/>
      <c r="Y71" s="109"/>
      <c r="Z71" s="109"/>
      <c r="AA71" s="109"/>
      <c r="AB71" s="109"/>
      <c r="AC71" s="109"/>
      <c r="AD71" s="109"/>
    </row>
    <row r="72" spans="1:35" ht="15" x14ac:dyDescent="0.25">
      <c r="A72" s="21" t="s">
        <v>33</v>
      </c>
      <c r="B72" s="120">
        <f>X100</f>
        <v>16.899999999999999</v>
      </c>
      <c r="C72" s="18" t="s">
        <v>34</v>
      </c>
      <c r="D72" s="72">
        <f>Y100</f>
        <v>585</v>
      </c>
      <c r="E72" s="18" t="s">
        <v>34</v>
      </c>
      <c r="F72" s="54" t="str">
        <f t="shared" ref="F72:F77" si="1">IF(B72&gt;D72,"Too much !"," ")</f>
        <v xml:space="preserve"> </v>
      </c>
    </row>
    <row r="73" spans="1:35" ht="15" x14ac:dyDescent="0.25">
      <c r="A73" s="21" t="s">
        <v>35</v>
      </c>
      <c r="B73" s="120">
        <f>Z100</f>
        <v>0</v>
      </c>
      <c r="C73" s="18" t="s">
        <v>34</v>
      </c>
      <c r="D73" s="21">
        <f>AA100</f>
        <v>415</v>
      </c>
      <c r="E73" s="18" t="s">
        <v>34</v>
      </c>
      <c r="F73" s="54" t="str">
        <f t="shared" si="1"/>
        <v xml:space="preserve"> </v>
      </c>
      <c r="P73" s="75"/>
      <c r="Q73" s="94" t="s">
        <v>108</v>
      </c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124" t="s">
        <v>129</v>
      </c>
      <c r="AF73" s="124" t="s">
        <v>130</v>
      </c>
    </row>
    <row r="74" spans="1:35" ht="15" x14ac:dyDescent="0.25">
      <c r="A74" s="21" t="s">
        <v>36</v>
      </c>
      <c r="B74" s="120">
        <f>AB100</f>
        <v>0</v>
      </c>
      <c r="C74" s="18" t="s">
        <v>34</v>
      </c>
      <c r="D74" s="21">
        <f>AC100</f>
        <v>730</v>
      </c>
      <c r="E74" s="18" t="s">
        <v>34</v>
      </c>
      <c r="F74" s="54" t="str">
        <f t="shared" si="1"/>
        <v xml:space="preserve"> </v>
      </c>
      <c r="M74" s="97"/>
      <c r="P74" s="75"/>
      <c r="Q74" s="96" t="s">
        <v>86</v>
      </c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8" t="s">
        <v>92</v>
      </c>
      <c r="AC74" s="97"/>
      <c r="AD74" s="97"/>
      <c r="AE74" s="248" t="s">
        <v>131</v>
      </c>
      <c r="AF74" s="242"/>
    </row>
    <row r="75" spans="1:35" ht="15" x14ac:dyDescent="0.25">
      <c r="A75" s="21" t="s">
        <v>37</v>
      </c>
      <c r="B75" s="120">
        <f>AD100</f>
        <v>0</v>
      </c>
      <c r="C75" s="18" t="s">
        <v>40</v>
      </c>
      <c r="D75" s="21">
        <f>AE100</f>
        <v>16</v>
      </c>
      <c r="E75" s="18" t="s">
        <v>40</v>
      </c>
      <c r="F75" s="54" t="str">
        <f t="shared" si="1"/>
        <v xml:space="preserve"> </v>
      </c>
      <c r="P75" s="75"/>
      <c r="Q75" s="99"/>
      <c r="R75" s="97" t="s">
        <v>87</v>
      </c>
      <c r="S75" s="97" t="s">
        <v>88</v>
      </c>
      <c r="T75" s="97" t="s">
        <v>89</v>
      </c>
      <c r="U75" s="97"/>
      <c r="V75" s="97" t="s">
        <v>91</v>
      </c>
      <c r="W75" s="97"/>
      <c r="X75" s="97"/>
      <c r="Y75" s="100" t="s">
        <v>89</v>
      </c>
      <c r="Z75" s="97"/>
      <c r="AA75" s="97"/>
      <c r="AB75" s="98" t="s">
        <v>93</v>
      </c>
      <c r="AC75" s="97" t="s">
        <v>94</v>
      </c>
      <c r="AD75" s="97"/>
      <c r="AE75" s="124" t="s">
        <v>34</v>
      </c>
      <c r="AF75" s="124" t="s">
        <v>34</v>
      </c>
    </row>
    <row r="76" spans="1:35" ht="15" x14ac:dyDescent="0.25">
      <c r="A76" s="21" t="s">
        <v>38</v>
      </c>
      <c r="B76" s="120">
        <f>AF100</f>
        <v>0</v>
      </c>
      <c r="C76" s="18" t="s">
        <v>40</v>
      </c>
      <c r="D76" s="72">
        <f>AG100</f>
        <v>87</v>
      </c>
      <c r="E76" s="18" t="s">
        <v>40</v>
      </c>
      <c r="F76" s="54" t="str">
        <f t="shared" si="1"/>
        <v xml:space="preserve"> </v>
      </c>
      <c r="P76" s="75"/>
      <c r="Q76" s="101" t="s">
        <v>37</v>
      </c>
      <c r="R76" s="98">
        <v>0</v>
      </c>
      <c r="S76" s="98">
        <v>0</v>
      </c>
      <c r="T76" s="98">
        <f>C44</f>
        <v>0</v>
      </c>
      <c r="U76" s="97" t="s">
        <v>40</v>
      </c>
      <c r="V76" s="102">
        <f>T76/AO4*1000*Y19</f>
        <v>0</v>
      </c>
      <c r="W76" s="97"/>
      <c r="X76" s="97"/>
      <c r="Y76" s="98" t="s">
        <v>33</v>
      </c>
      <c r="Z76" s="103">
        <f>C41+(C47+AJ4)*C51+AM4+V84+C47*10</f>
        <v>16.899999999999999</v>
      </c>
      <c r="AA76" s="97" t="s">
        <v>34</v>
      </c>
      <c r="AB76" s="98">
        <f>AI4</f>
        <v>585</v>
      </c>
      <c r="AC76" s="97"/>
      <c r="AD76" s="97"/>
      <c r="AH76" s="146">
        <f>C41+V84+AM4*S10+C47*10</f>
        <v>16</v>
      </c>
      <c r="AI76" s="72">
        <f>AH76+(AJ4*S10+C47)*C51+U126*G17*2/1000*C51</f>
        <v>17.168399999999998</v>
      </c>
    </row>
    <row r="77" spans="1:35" ht="15" x14ac:dyDescent="0.25">
      <c r="A77" s="21" t="s">
        <v>39</v>
      </c>
      <c r="B77" s="120">
        <f>AH100</f>
        <v>0</v>
      </c>
      <c r="C77" s="18" t="s">
        <v>40</v>
      </c>
      <c r="D77" s="21">
        <f>AI100</f>
        <v>50</v>
      </c>
      <c r="E77" s="18" t="s">
        <v>40</v>
      </c>
      <c r="F77" s="54" t="str">
        <f t="shared" si="1"/>
        <v xml:space="preserve"> </v>
      </c>
      <c r="P77" s="75"/>
      <c r="Q77" s="101" t="s">
        <v>38</v>
      </c>
      <c r="R77" s="98">
        <f>C47*10*M49/1000</f>
        <v>0</v>
      </c>
      <c r="S77" s="98">
        <f>C47*C51*M49/1000</f>
        <v>0</v>
      </c>
      <c r="T77" s="98">
        <f>Y10*R77+S77+C45</f>
        <v>0</v>
      </c>
      <c r="U77" s="97" t="s">
        <v>40</v>
      </c>
      <c r="V77" s="102">
        <f>T77/AN4*1000*Y19</f>
        <v>0</v>
      </c>
      <c r="W77" s="97"/>
      <c r="X77" s="97"/>
      <c r="Y77" s="98" t="s">
        <v>35</v>
      </c>
      <c r="Z77" s="98">
        <f>C42</f>
        <v>0</v>
      </c>
      <c r="AA77" s="97" t="s">
        <v>34</v>
      </c>
      <c r="AB77" s="98">
        <f>Z4</f>
        <v>415</v>
      </c>
      <c r="AC77" s="104">
        <f>Z77/AB77</f>
        <v>0</v>
      </c>
      <c r="AD77" s="97"/>
      <c r="AF77" s="18">
        <f>Z77/4/S10</f>
        <v>0</v>
      </c>
    </row>
    <row r="78" spans="1:35" ht="15" x14ac:dyDescent="0.25">
      <c r="F78" s="55" t="s">
        <v>170</v>
      </c>
      <c r="G78" s="144">
        <f>AJ100</f>
        <v>0</v>
      </c>
      <c r="P78" s="75"/>
      <c r="Q78" s="101" t="s">
        <v>39</v>
      </c>
      <c r="R78" s="98">
        <f>C47*10*M48/1000</f>
        <v>0</v>
      </c>
      <c r="S78" s="98">
        <f>C47*C51*M48/1000</f>
        <v>0</v>
      </c>
      <c r="T78" s="98">
        <f>Y10*R78+S78+C46</f>
        <v>0</v>
      </c>
      <c r="U78" s="97" t="s">
        <v>40</v>
      </c>
      <c r="V78" s="102">
        <f>T78/AN4*1000*Y19</f>
        <v>0</v>
      </c>
      <c r="W78" s="97"/>
      <c r="X78" s="97"/>
      <c r="Y78" s="98" t="s">
        <v>36</v>
      </c>
      <c r="Z78" s="98">
        <f>C43</f>
        <v>0</v>
      </c>
      <c r="AA78" s="97" t="s">
        <v>34</v>
      </c>
      <c r="AB78" s="98">
        <f>AA4</f>
        <v>730</v>
      </c>
      <c r="AC78" s="104">
        <f>Z78/AB78</f>
        <v>0</v>
      </c>
      <c r="AD78" s="97"/>
      <c r="AE78" s="18">
        <f>Z78/4/S10</f>
        <v>0</v>
      </c>
    </row>
    <row r="79" spans="1:35" ht="15" x14ac:dyDescent="0.25">
      <c r="B79" s="116" t="str">
        <f>IF(AJ100&gt;1,"The total load is too much ! Select bigger unit or another configuration.",IF(B72&gt;D72,"The axial force is too much ! Select bigger unit or another configuration."," "))</f>
        <v xml:space="preserve"> </v>
      </c>
      <c r="P79" s="75"/>
      <c r="Q79" s="101"/>
      <c r="R79" s="97"/>
      <c r="S79" s="97"/>
      <c r="T79" s="97"/>
      <c r="U79" s="97"/>
      <c r="V79" s="97"/>
      <c r="W79" s="97"/>
      <c r="X79" s="97"/>
      <c r="Y79" s="98" t="s">
        <v>37</v>
      </c>
      <c r="Z79" s="98">
        <f>T76</f>
        <v>0</v>
      </c>
      <c r="AA79" s="97" t="s">
        <v>40</v>
      </c>
      <c r="AB79" s="98">
        <f>AB4</f>
        <v>16</v>
      </c>
      <c r="AC79" s="104">
        <f>Z79/AB79</f>
        <v>0</v>
      </c>
      <c r="AD79" s="97"/>
      <c r="AE79" s="128">
        <f>Z79/AO4*1000/2/S10</f>
        <v>0</v>
      </c>
    </row>
    <row r="80" spans="1:35" x14ac:dyDescent="0.2">
      <c r="P80" s="75"/>
      <c r="Q80" s="101" t="s">
        <v>35</v>
      </c>
      <c r="R80" s="97"/>
      <c r="S80" s="97"/>
      <c r="T80" s="97"/>
      <c r="U80" s="97"/>
      <c r="V80" s="98">
        <f>C42*Y19</f>
        <v>0</v>
      </c>
      <c r="W80" s="97"/>
      <c r="X80" s="97"/>
      <c r="Y80" s="98" t="s">
        <v>38</v>
      </c>
      <c r="Z80" s="98">
        <f>T77</f>
        <v>0</v>
      </c>
      <c r="AA80" s="97" t="s">
        <v>40</v>
      </c>
      <c r="AB80" s="98">
        <f>AC4</f>
        <v>87</v>
      </c>
      <c r="AC80" s="104">
        <f>Z80/AB80</f>
        <v>0</v>
      </c>
      <c r="AD80" s="97"/>
      <c r="AE80" s="128">
        <f>(Z80+C47*C50*BF4/1000)/AN4*1000/2/S10</f>
        <v>0</v>
      </c>
    </row>
    <row r="81" spans="2:35" ht="15" x14ac:dyDescent="0.25">
      <c r="B81" s="55" t="s">
        <v>123</v>
      </c>
      <c r="C81" s="118" t="str">
        <f>CONCATENATE(AP4,R109,S109,T109,U109,"x",W10,IF(Q10&lt;3,"-0000",W110))</f>
        <v>WH05Z120-02000-02440xN-0000</v>
      </c>
      <c r="P81" s="75"/>
      <c r="Q81" s="101" t="s">
        <v>36</v>
      </c>
      <c r="R81" s="105"/>
      <c r="S81" s="105"/>
      <c r="T81" s="105"/>
      <c r="U81" s="105"/>
      <c r="V81" s="106">
        <f>C43*Y19</f>
        <v>0</v>
      </c>
      <c r="W81" s="105"/>
      <c r="X81" s="105"/>
      <c r="Y81" s="106" t="s">
        <v>39</v>
      </c>
      <c r="Z81" s="98">
        <f>T78</f>
        <v>0</v>
      </c>
      <c r="AA81" s="97" t="s">
        <v>40</v>
      </c>
      <c r="AB81" s="106">
        <f>AD4</f>
        <v>50</v>
      </c>
      <c r="AC81" s="104">
        <f>Z81/AB81</f>
        <v>0</v>
      </c>
      <c r="AD81" s="105"/>
      <c r="AF81" s="128">
        <f>Z81/AN4/4*1000/S10</f>
        <v>0</v>
      </c>
    </row>
    <row r="82" spans="2:35" x14ac:dyDescent="0.2">
      <c r="P82" s="75"/>
      <c r="Q82" s="99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</row>
    <row r="83" spans="2:35" ht="15" x14ac:dyDescent="0.25">
      <c r="B83" s="118" t="s">
        <v>164</v>
      </c>
      <c r="P83" s="75"/>
      <c r="Q83" s="99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 t="s">
        <v>89</v>
      </c>
      <c r="AC83" s="107">
        <f>SUM(AC77:AC82)</f>
        <v>0</v>
      </c>
      <c r="AD83" s="97"/>
      <c r="AE83" s="128">
        <f>SUM(AE78:AE82)</f>
        <v>0</v>
      </c>
      <c r="AF83" s="128">
        <f>AF81+AF77</f>
        <v>0</v>
      </c>
    </row>
    <row r="84" spans="2:35" x14ac:dyDescent="0.2">
      <c r="P84" s="75"/>
      <c r="Q84" s="108"/>
      <c r="R84" s="109"/>
      <c r="S84" s="109"/>
      <c r="T84" s="109"/>
      <c r="U84" s="109" t="s">
        <v>89</v>
      </c>
      <c r="V84" s="110">
        <f>SUM(V76:V83)</f>
        <v>0</v>
      </c>
      <c r="W84" s="109" t="s">
        <v>34</v>
      </c>
      <c r="X84" s="109"/>
      <c r="Y84" s="109"/>
      <c r="Z84" s="109"/>
      <c r="AA84" s="109"/>
      <c r="AB84" s="109"/>
      <c r="AC84" s="109"/>
      <c r="AD84" s="109"/>
    </row>
    <row r="85" spans="2:35" x14ac:dyDescent="0.2">
      <c r="C85" s="55" t="s">
        <v>178</v>
      </c>
      <c r="D85" s="44">
        <v>1</v>
      </c>
      <c r="M85" s="22"/>
      <c r="P85" s="75"/>
    </row>
    <row r="86" spans="2:35" ht="15" x14ac:dyDescent="0.25">
      <c r="C86" s="55" t="s">
        <v>165</v>
      </c>
      <c r="D86" s="140">
        <f>IF(AG121&lt;100000,AG121,"&gt; 100 000")</f>
        <v>7464.0971793106037</v>
      </c>
      <c r="E86" s="18" t="s">
        <v>156</v>
      </c>
      <c r="F86" s="140">
        <f>D86*3600*$C$50/1000</f>
        <v>26870.74984551817</v>
      </c>
      <c r="G86" s="18" t="s">
        <v>169</v>
      </c>
      <c r="M86" s="22"/>
      <c r="P86" s="75"/>
      <c r="Q86" s="94" t="s">
        <v>109</v>
      </c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124" t="s">
        <v>129</v>
      </c>
      <c r="AF86" s="124" t="s">
        <v>130</v>
      </c>
    </row>
    <row r="87" spans="2:35" ht="15" x14ac:dyDescent="0.25">
      <c r="C87" s="55" t="s">
        <v>166</v>
      </c>
      <c r="D87" s="140">
        <f>IF(AG116&lt;100000,AG116,"&gt; 100 000")</f>
        <v>30198.077263449311</v>
      </c>
      <c r="E87" s="18" t="s">
        <v>156</v>
      </c>
      <c r="F87" s="140">
        <f t="shared" ref="F87:F88" si="2">D87*3600*$C$50/1000</f>
        <v>108713.07814841752</v>
      </c>
      <c r="G87" s="18" t="s">
        <v>169</v>
      </c>
      <c r="M87" s="22"/>
      <c r="P87" s="75"/>
      <c r="Q87" s="96" t="s">
        <v>86</v>
      </c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8" t="s">
        <v>92</v>
      </c>
      <c r="AC87" s="97"/>
      <c r="AD87" s="97"/>
      <c r="AE87" s="248" t="s">
        <v>131</v>
      </c>
      <c r="AF87" s="242"/>
    </row>
    <row r="88" spans="2:35" ht="15" x14ac:dyDescent="0.25">
      <c r="C88" s="55" t="s">
        <v>167</v>
      </c>
      <c r="D88" s="140">
        <f>IF(AG117&lt;100000,AG117,"&gt; 100 000")</f>
        <v>4341.8740601388135</v>
      </c>
      <c r="E88" s="18" t="s">
        <v>156</v>
      </c>
      <c r="F88" s="140">
        <f t="shared" si="2"/>
        <v>15630.746616499729</v>
      </c>
      <c r="G88" s="18" t="s">
        <v>169</v>
      </c>
      <c r="M88" s="22"/>
      <c r="P88" s="75"/>
      <c r="Q88" s="99"/>
      <c r="R88" s="97" t="s">
        <v>87</v>
      </c>
      <c r="S88" s="97" t="s">
        <v>88</v>
      </c>
      <c r="T88" s="97" t="s">
        <v>89</v>
      </c>
      <c r="U88" s="97"/>
      <c r="V88" s="97" t="s">
        <v>91</v>
      </c>
      <c r="W88" s="97"/>
      <c r="X88" s="97"/>
      <c r="Y88" s="100" t="s">
        <v>89</v>
      </c>
      <c r="Z88" s="97"/>
      <c r="AA88" s="97"/>
      <c r="AB88" s="98" t="s">
        <v>93</v>
      </c>
      <c r="AC88" s="97" t="s">
        <v>94</v>
      </c>
      <c r="AD88" s="97"/>
      <c r="AE88" s="124" t="s">
        <v>34</v>
      </c>
      <c r="AF88" s="124" t="s">
        <v>34</v>
      </c>
    </row>
    <row r="89" spans="2:35" x14ac:dyDescent="0.2">
      <c r="P89" s="75"/>
      <c r="Q89" s="101" t="s">
        <v>37</v>
      </c>
      <c r="R89" s="98">
        <v>0</v>
      </c>
      <c r="S89" s="98">
        <v>0</v>
      </c>
      <c r="T89" s="98">
        <v>0</v>
      </c>
      <c r="U89" s="97" t="s">
        <v>40</v>
      </c>
      <c r="V89" s="102">
        <f>C44/D20*1000*Y19</f>
        <v>0</v>
      </c>
      <c r="W89" s="97"/>
      <c r="X89" s="97"/>
      <c r="Y89" s="98" t="s">
        <v>33</v>
      </c>
      <c r="Z89" s="103">
        <f>C41+C47*10+2*AJ4+2*AM4+T91/D20*1000+(C47+2*AJ4)*C51</f>
        <v>35.599999999999994</v>
      </c>
      <c r="AA89" s="97" t="s">
        <v>34</v>
      </c>
      <c r="AB89" s="98">
        <f>AI4*2</f>
        <v>1170</v>
      </c>
      <c r="AC89" s="97"/>
      <c r="AD89" s="97"/>
      <c r="AH89" s="146">
        <f>C41+C47*10+V97+AJ4*10*2*S10</f>
        <v>18</v>
      </c>
      <c r="AI89" s="72">
        <f>AH89+(C47+AJ4*2*S10+U126*G17/1000*2*2)*C51</f>
        <v>20.3368</v>
      </c>
    </row>
    <row r="90" spans="2:35" ht="15" x14ac:dyDescent="0.25">
      <c r="C90" s="55" t="s">
        <v>179</v>
      </c>
      <c r="D90" s="44">
        <v>1</v>
      </c>
      <c r="F90" s="55" t="s">
        <v>182</v>
      </c>
      <c r="G90" s="144">
        <f>D90*2*C56/60</f>
        <v>8.3333333333333329E-2</v>
      </c>
      <c r="H90" s="54" t="str">
        <f>IF(G90&gt;1,"Not possible !"," ")</f>
        <v xml:space="preserve"> </v>
      </c>
      <c r="P90" s="75"/>
      <c r="Q90" s="101" t="s">
        <v>38</v>
      </c>
      <c r="R90" s="98">
        <f>C47*M49*10/1000</f>
        <v>0</v>
      </c>
      <c r="S90" s="98">
        <f>C47*C51*M49/1000</f>
        <v>0</v>
      </c>
      <c r="T90" s="98">
        <f>Y10*R90+S90+C45</f>
        <v>0</v>
      </c>
      <c r="U90" s="97" t="s">
        <v>40</v>
      </c>
      <c r="V90" s="102">
        <f>T90/AN4*1000*Y19</f>
        <v>0</v>
      </c>
      <c r="W90" s="97"/>
      <c r="X90" s="97"/>
      <c r="Y90" s="98" t="s">
        <v>35</v>
      </c>
      <c r="Z90" s="98">
        <f>C42</f>
        <v>0</v>
      </c>
      <c r="AA90" s="97" t="s">
        <v>34</v>
      </c>
      <c r="AB90" s="98">
        <f>Z4</f>
        <v>415</v>
      </c>
      <c r="AC90" s="104">
        <f>Z90/AB90</f>
        <v>0</v>
      </c>
      <c r="AD90" s="97"/>
      <c r="AF90" s="18">
        <f>Z90/S10/4</f>
        <v>0</v>
      </c>
    </row>
    <row r="91" spans="2:35" x14ac:dyDescent="0.2">
      <c r="C91" s="55" t="s">
        <v>180</v>
      </c>
      <c r="D91" s="44">
        <v>8</v>
      </c>
      <c r="P91" s="75"/>
      <c r="Q91" s="101" t="s">
        <v>39</v>
      </c>
      <c r="R91" s="98">
        <f>C47*10*M48/1000</f>
        <v>0</v>
      </c>
      <c r="S91" s="98">
        <f>C47*C51*M48/1000</f>
        <v>0</v>
      </c>
      <c r="T91" s="98">
        <f>Y10*R91+S91+C46</f>
        <v>0</v>
      </c>
      <c r="U91" s="97" t="s">
        <v>40</v>
      </c>
      <c r="V91" s="102">
        <v>0</v>
      </c>
      <c r="W91" s="97"/>
      <c r="X91" s="97"/>
      <c r="Y91" s="98" t="s">
        <v>36</v>
      </c>
      <c r="Z91" s="103">
        <f>C43+C44/D20*1000*2</f>
        <v>0</v>
      </c>
      <c r="AA91" s="97" t="s">
        <v>34</v>
      </c>
      <c r="AB91" s="98">
        <f>AA4*2</f>
        <v>1460</v>
      </c>
      <c r="AC91" s="104">
        <f>Z91/AB91</f>
        <v>0</v>
      </c>
      <c r="AD91" s="97"/>
      <c r="AE91" s="128">
        <f>Z91/8/S10</f>
        <v>0</v>
      </c>
    </row>
    <row r="92" spans="2:35" x14ac:dyDescent="0.2">
      <c r="C92" s="55" t="s">
        <v>181</v>
      </c>
      <c r="D92" s="44">
        <v>224</v>
      </c>
      <c r="P92" s="75"/>
      <c r="Q92" s="101"/>
      <c r="R92" s="97"/>
      <c r="S92" s="97"/>
      <c r="T92" s="97"/>
      <c r="U92" s="97"/>
      <c r="V92" s="97"/>
      <c r="W92" s="97"/>
      <c r="X92" s="97"/>
      <c r="Y92" s="98" t="s">
        <v>37</v>
      </c>
      <c r="Z92" s="98">
        <v>0</v>
      </c>
      <c r="AA92" s="97" t="s">
        <v>40</v>
      </c>
      <c r="AB92" s="98">
        <f>AB43</f>
        <v>0</v>
      </c>
      <c r="AC92" s="104">
        <v>0</v>
      </c>
      <c r="AD92" s="131" t="s">
        <v>104</v>
      </c>
    </row>
    <row r="93" spans="2:35" x14ac:dyDescent="0.2">
      <c r="P93" s="75"/>
      <c r="Q93" s="101" t="s">
        <v>35</v>
      </c>
      <c r="R93" s="97"/>
      <c r="S93" s="97"/>
      <c r="T93" s="97"/>
      <c r="U93" s="97"/>
      <c r="V93" s="98">
        <f>C42*Y19</f>
        <v>0</v>
      </c>
      <c r="W93" s="97"/>
      <c r="X93" s="97"/>
      <c r="Y93" s="98" t="s">
        <v>38</v>
      </c>
      <c r="Z93" s="98">
        <f>T90</f>
        <v>0</v>
      </c>
      <c r="AA93" s="97" t="s">
        <v>40</v>
      </c>
      <c r="AB93" s="98">
        <f>AC4*2</f>
        <v>174</v>
      </c>
      <c r="AC93" s="104">
        <f>Z93/AB93</f>
        <v>0</v>
      </c>
      <c r="AD93" s="97"/>
      <c r="AE93" s="128">
        <f>(Z93+C47*C50*BF4/1000)/AN4*1000/4/S10</f>
        <v>0</v>
      </c>
    </row>
    <row r="94" spans="2:35" ht="15" x14ac:dyDescent="0.25">
      <c r="C94" s="118" t="s">
        <v>183</v>
      </c>
      <c r="D94" s="147" t="str">
        <f>IF(F86*10^6/C53/2/D90/60/D91/D92&gt;50,"&gt; 50",F86*10^6/C53/2/D90/60/D91/D92)</f>
        <v>&gt; 50</v>
      </c>
      <c r="E94" s="18" t="s">
        <v>184</v>
      </c>
      <c r="F94" s="141" t="s">
        <v>165</v>
      </c>
      <c r="P94" s="75"/>
      <c r="Q94" s="101" t="s">
        <v>36</v>
      </c>
      <c r="R94" s="105"/>
      <c r="S94" s="105"/>
      <c r="T94" s="105"/>
      <c r="U94" s="105"/>
      <c r="V94" s="98">
        <f>Z91*Y19</f>
        <v>0</v>
      </c>
      <c r="W94" s="105"/>
      <c r="X94" s="105"/>
      <c r="Y94" s="106" t="s">
        <v>39</v>
      </c>
      <c r="Z94" s="98">
        <f>T91</f>
        <v>0</v>
      </c>
      <c r="AA94" s="97" t="s">
        <v>40</v>
      </c>
      <c r="AB94" s="106">
        <f>AD4</f>
        <v>50</v>
      </c>
      <c r="AC94" s="104">
        <v>0</v>
      </c>
      <c r="AD94" s="131" t="s">
        <v>103</v>
      </c>
    </row>
    <row r="95" spans="2:35" ht="15" x14ac:dyDescent="0.25">
      <c r="D95" s="147" t="str">
        <f>IF(AK116&gt;50,"&gt; 50",AK116)</f>
        <v>&gt; 50</v>
      </c>
      <c r="E95" s="18" t="s">
        <v>184</v>
      </c>
      <c r="F95" s="141" t="s">
        <v>166</v>
      </c>
      <c r="P95" s="75"/>
      <c r="Q95" s="99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</row>
    <row r="96" spans="2:35" ht="15" x14ac:dyDescent="0.25">
      <c r="D96" s="147">
        <f>IF(AK117&gt;50,"&gt; 50",AK117)</f>
        <v>48.458415849763547</v>
      </c>
      <c r="E96" s="18" t="s">
        <v>184</v>
      </c>
      <c r="F96" s="141" t="s">
        <v>167</v>
      </c>
      <c r="P96" s="75"/>
      <c r="Q96" s="99"/>
      <c r="R96" s="97"/>
      <c r="S96" s="97"/>
      <c r="T96" s="97"/>
      <c r="U96" s="97"/>
      <c r="V96" s="97"/>
      <c r="W96" s="97"/>
      <c r="X96" s="97"/>
      <c r="Y96" s="97"/>
      <c r="Z96" s="97"/>
      <c r="AA96" s="97"/>
      <c r="AB96" s="97" t="s">
        <v>89</v>
      </c>
      <c r="AC96" s="107">
        <f>SUM(AC90:AC95)</f>
        <v>0</v>
      </c>
      <c r="AD96" s="97"/>
      <c r="AE96" s="128">
        <f>AE91+AE93</f>
        <v>0</v>
      </c>
      <c r="AF96" s="18">
        <f>AF90</f>
        <v>0</v>
      </c>
    </row>
    <row r="97" spans="2:48" x14ac:dyDescent="0.2">
      <c r="P97" s="75"/>
      <c r="Q97" s="108"/>
      <c r="R97" s="109"/>
      <c r="S97" s="109"/>
      <c r="T97" s="109"/>
      <c r="U97" s="109" t="s">
        <v>89</v>
      </c>
      <c r="V97" s="110">
        <f>SUM(V89:V96)</f>
        <v>0</v>
      </c>
      <c r="W97" s="109" t="s">
        <v>34</v>
      </c>
      <c r="X97" s="109"/>
      <c r="Y97" s="109"/>
      <c r="Z97" s="109"/>
      <c r="AA97" s="109"/>
      <c r="AB97" s="109"/>
      <c r="AC97" s="109"/>
      <c r="AD97" s="109"/>
      <c r="AM97" s="241" t="s">
        <v>201</v>
      </c>
      <c r="AN97" s="241" t="s">
        <v>202</v>
      </c>
    </row>
    <row r="98" spans="2:48" x14ac:dyDescent="0.2">
      <c r="AK98" s="246" t="s">
        <v>133</v>
      </c>
      <c r="AL98" s="243"/>
      <c r="AM98" s="241"/>
      <c r="AN98" s="241"/>
    </row>
    <row r="99" spans="2:48" ht="15" x14ac:dyDescent="0.25">
      <c r="C99" s="55" t="s">
        <v>207</v>
      </c>
      <c r="D99" s="155">
        <f>N133</f>
        <v>1.8814623854899981</v>
      </c>
      <c r="E99" s="18" t="s">
        <v>205</v>
      </c>
      <c r="F99" s="140">
        <f>R113</f>
        <v>499.96317201642506</v>
      </c>
      <c r="G99" s="18" t="s">
        <v>206</v>
      </c>
      <c r="H99" s="156">
        <f>C50</f>
        <v>1</v>
      </c>
      <c r="I99" s="18" t="s">
        <v>47</v>
      </c>
      <c r="X99" s="246" t="s">
        <v>111</v>
      </c>
      <c r="Y99" s="246"/>
      <c r="Z99" s="246" t="s">
        <v>68</v>
      </c>
      <c r="AA99" s="246"/>
      <c r="AB99" s="246" t="s">
        <v>69</v>
      </c>
      <c r="AC99" s="246"/>
      <c r="AD99" s="247" t="s">
        <v>70</v>
      </c>
      <c r="AE99" s="247"/>
      <c r="AF99" s="246" t="s">
        <v>71</v>
      </c>
      <c r="AG99" s="246"/>
      <c r="AH99" s="246" t="s">
        <v>72</v>
      </c>
      <c r="AI99" s="246"/>
      <c r="AJ99" s="137" t="s">
        <v>112</v>
      </c>
      <c r="AK99" s="127" t="s">
        <v>134</v>
      </c>
      <c r="AL99" s="150" t="s">
        <v>135</v>
      </c>
      <c r="AM99" s="241"/>
      <c r="AN99" s="241"/>
    </row>
    <row r="100" spans="2:48" x14ac:dyDescent="0.2">
      <c r="R100" s="18" t="str">
        <f>VLOOKUP($AA$15,$Q$101:R106,2)</f>
        <v>Horizontal mounting, single unit, carriage sideway</v>
      </c>
      <c r="S100" s="18" t="str">
        <f>VLOOKUP($AA$15,$Q$101:S106,2)</f>
        <v>Horizontal mounting, single unit, carriage sideway</v>
      </c>
      <c r="X100" s="112">
        <f>VLOOKUP($AA$15,$Q$101:X106,8)</f>
        <v>16.899999999999999</v>
      </c>
      <c r="Y100" s="112">
        <f>VLOOKUP($AA$15,$Q$101:Y106,9)</f>
        <v>585</v>
      </c>
      <c r="Z100" s="18">
        <f>VLOOKUP($AA$15,$Q$101:Z106,10)</f>
        <v>0</v>
      </c>
      <c r="AA100" s="18">
        <f>VLOOKUP($AA$15,$Q$101:AA106,11)</f>
        <v>415</v>
      </c>
      <c r="AB100" s="18">
        <f>VLOOKUP($AA$15,$Q$101:AB106,12)</f>
        <v>0</v>
      </c>
      <c r="AC100" s="18">
        <f>VLOOKUP($AA$15,$Q$101:AC106,13)</f>
        <v>730</v>
      </c>
      <c r="AD100" s="18">
        <f>VLOOKUP($AA$15,$Q$101:AD106,14)</f>
        <v>0</v>
      </c>
      <c r="AE100" s="18">
        <f>VLOOKUP($AA$15,$Q$101:AE106,15)</f>
        <v>16</v>
      </c>
      <c r="AF100" s="18">
        <f>VLOOKUP($AA$15,$Q$101:AF106,16)</f>
        <v>0</v>
      </c>
      <c r="AG100" s="18">
        <f>VLOOKUP($AA$15,$Q$101:AG106,17)</f>
        <v>87</v>
      </c>
      <c r="AH100" s="18">
        <f>VLOOKUP($AA$15,$Q$101:AH106,18)</f>
        <v>0</v>
      </c>
      <c r="AI100" s="18">
        <f>VLOOKUP($AA$15,$Q$101:AI106,19)</f>
        <v>50</v>
      </c>
      <c r="AJ100" s="123">
        <f>VLOOKUP($AA$15,$Q$101:AJ106,20)</f>
        <v>0</v>
      </c>
      <c r="AK100" s="138">
        <f>VLOOKUP($AA$15,$Q$101:AK106,21)</f>
        <v>200</v>
      </c>
      <c r="AL100" s="138">
        <f>VLOOKUP($AA$15,$Q$101:AL106,22)</f>
        <v>0</v>
      </c>
      <c r="AM100" s="138">
        <f>VLOOKUP($AA$15,$Q$101:AM106,23)</f>
        <v>0</v>
      </c>
      <c r="AN100" s="138">
        <f>VLOOKUP($AA$15,$Q$101:AN106,24)</f>
        <v>17.168399999999998</v>
      </c>
    </row>
    <row r="101" spans="2:48" ht="15" x14ac:dyDescent="0.25">
      <c r="C101" s="55" t="s">
        <v>208</v>
      </c>
      <c r="D101" s="157">
        <f>P142</f>
        <v>1.8814623854899981</v>
      </c>
      <c r="E101" s="18" t="s">
        <v>205</v>
      </c>
      <c r="F101" s="158">
        <f>D101*R113/9.55</f>
        <v>98.498628510907778</v>
      </c>
      <c r="G101" s="18" t="s">
        <v>210</v>
      </c>
      <c r="Q101" s="74">
        <v>1</v>
      </c>
      <c r="R101" s="100" t="s">
        <v>110</v>
      </c>
      <c r="X101" s="112">
        <f>Z23</f>
        <v>16.899999999999999</v>
      </c>
      <c r="Y101" s="18">
        <f>AB23</f>
        <v>585</v>
      </c>
      <c r="Z101" s="18">
        <f>Z24</f>
        <v>0</v>
      </c>
      <c r="AA101" s="18">
        <f>AB24</f>
        <v>415</v>
      </c>
      <c r="AB101" s="18">
        <f>Z25</f>
        <v>0</v>
      </c>
      <c r="AC101" s="18">
        <f>AB25</f>
        <v>730</v>
      </c>
      <c r="AD101" s="18">
        <f>Z26</f>
        <v>0</v>
      </c>
      <c r="AE101" s="18">
        <f>AB26</f>
        <v>16</v>
      </c>
      <c r="AF101" s="18">
        <f>Z27</f>
        <v>0</v>
      </c>
      <c r="AG101" s="18">
        <f>AB27</f>
        <v>87</v>
      </c>
      <c r="AH101" s="18">
        <f>Z28</f>
        <v>0</v>
      </c>
      <c r="AI101" s="18">
        <f>AB28</f>
        <v>50</v>
      </c>
      <c r="AJ101" s="113">
        <f>AC30</f>
        <v>0</v>
      </c>
      <c r="AK101" s="128">
        <f>AQ4+AE30</f>
        <v>200</v>
      </c>
      <c r="AL101" s="128">
        <f>AF30</f>
        <v>0</v>
      </c>
      <c r="AM101" s="128">
        <f>AH23</f>
        <v>0</v>
      </c>
      <c r="AN101" s="128">
        <f>AI23</f>
        <v>1.1684000000000001</v>
      </c>
    </row>
    <row r="102" spans="2:48" ht="15" x14ac:dyDescent="0.25">
      <c r="C102" s="55" t="s">
        <v>209</v>
      </c>
      <c r="D102" s="157">
        <f>P143</f>
        <v>2.2093788254899982</v>
      </c>
      <c r="E102" s="18" t="s">
        <v>205</v>
      </c>
      <c r="F102" s="158">
        <f>D102*R113/9.55</f>
        <v>115.66576395580135</v>
      </c>
      <c r="G102" s="18" t="s">
        <v>210</v>
      </c>
      <c r="Q102" s="74">
        <v>2</v>
      </c>
      <c r="R102" s="82" t="s">
        <v>107</v>
      </c>
      <c r="X102" s="112">
        <f>Z37</f>
        <v>33.799999999999997</v>
      </c>
      <c r="Y102" s="18">
        <f>AB37</f>
        <v>1170</v>
      </c>
      <c r="Z102" s="18">
        <f>Z38</f>
        <v>0</v>
      </c>
      <c r="AA102" s="18">
        <f>AB38</f>
        <v>415</v>
      </c>
      <c r="AB102" s="18">
        <f>Z39</f>
        <v>0</v>
      </c>
      <c r="AC102" s="18">
        <f>AB39</f>
        <v>1460</v>
      </c>
      <c r="AD102" s="18" t="str">
        <f>IF(Z40=0," - ",Z40)</f>
        <v xml:space="preserve"> - </v>
      </c>
      <c r="AE102" s="18" t="str">
        <f>IF(AB40=0," - ",AB40)</f>
        <v xml:space="preserve"> - </v>
      </c>
      <c r="AF102" s="18">
        <f>Z41</f>
        <v>0</v>
      </c>
      <c r="AG102" s="18">
        <f>AB41</f>
        <v>174</v>
      </c>
      <c r="AH102" s="18">
        <f>Z42</f>
        <v>0</v>
      </c>
      <c r="AI102" s="18" t="str">
        <f>IF(AB42=0," - ",AB42)</f>
        <v xml:space="preserve"> - </v>
      </c>
      <c r="AJ102" s="113">
        <f>AC44</f>
        <v>0</v>
      </c>
      <c r="AK102" s="128">
        <f>AQ4+AE44</f>
        <v>200</v>
      </c>
      <c r="AL102" s="18">
        <f>AF44</f>
        <v>0</v>
      </c>
      <c r="AM102" s="128">
        <f>AH37</f>
        <v>0</v>
      </c>
      <c r="AN102" s="128">
        <f>AI37</f>
        <v>2.3368000000000002</v>
      </c>
    </row>
    <row r="103" spans="2:48" ht="15" x14ac:dyDescent="0.25">
      <c r="C103" s="55" t="s">
        <v>307</v>
      </c>
      <c r="D103" s="200">
        <f>S153</f>
        <v>4.62932547145129E-4</v>
      </c>
      <c r="E103" s="18" t="s">
        <v>308</v>
      </c>
      <c r="Q103" s="74">
        <v>3</v>
      </c>
      <c r="R103" s="100" t="s">
        <v>105</v>
      </c>
      <c r="X103" s="112">
        <f>Z50</f>
        <v>16.899999999999999</v>
      </c>
      <c r="Y103" s="18">
        <f>AB50</f>
        <v>585</v>
      </c>
      <c r="Z103" s="18">
        <f>Z51</f>
        <v>0</v>
      </c>
      <c r="AA103" s="18">
        <f>AB51</f>
        <v>415</v>
      </c>
      <c r="AB103" s="18">
        <f>Z52</f>
        <v>0</v>
      </c>
      <c r="AC103" s="18">
        <f>AB52</f>
        <v>730</v>
      </c>
      <c r="AD103" s="18">
        <f>Z53</f>
        <v>0</v>
      </c>
      <c r="AE103" s="18">
        <f>AB53</f>
        <v>16</v>
      </c>
      <c r="AF103" s="18">
        <f>Z54</f>
        <v>0</v>
      </c>
      <c r="AG103" s="18">
        <f>AB54</f>
        <v>87</v>
      </c>
      <c r="AH103" s="18">
        <f>Z55</f>
        <v>0</v>
      </c>
      <c r="AI103" s="18">
        <f>AB55</f>
        <v>50</v>
      </c>
      <c r="AJ103" s="113">
        <f>AC57</f>
        <v>0</v>
      </c>
      <c r="AK103" s="128">
        <f>AQ4+AE57</f>
        <v>200</v>
      </c>
      <c r="AL103" s="128">
        <f>AF57</f>
        <v>0</v>
      </c>
      <c r="AM103" s="128">
        <f>AH50</f>
        <v>0</v>
      </c>
      <c r="AN103" s="128">
        <f>AI50</f>
        <v>17.168399999999998</v>
      </c>
    </row>
    <row r="104" spans="2:48" ht="15" x14ac:dyDescent="0.25">
      <c r="B104" s="54" t="str">
        <f>IF(AND(Q15=1,P143&gt;AC126),"Too high drive torque",IF(AND(Q15=2,P143&gt;2*AC126),"Too high drive torque",IF(AND(Q15=2,P143&gt;AC126),"Central mounting of motor/gear required"," ")))</f>
        <v xml:space="preserve"> </v>
      </c>
      <c r="Q104" s="74">
        <v>4</v>
      </c>
      <c r="R104" s="100" t="s">
        <v>106</v>
      </c>
      <c r="X104" s="112">
        <f>Z63</f>
        <v>1.8</v>
      </c>
      <c r="Y104" s="18">
        <f>AB63</f>
        <v>1170</v>
      </c>
      <c r="Z104" s="18">
        <f>Z64</f>
        <v>0</v>
      </c>
      <c r="AA104" s="18">
        <f>AB64</f>
        <v>415</v>
      </c>
      <c r="AB104" s="112">
        <f>Z65</f>
        <v>0</v>
      </c>
      <c r="AC104" s="18">
        <f>AB65</f>
        <v>1460</v>
      </c>
      <c r="AD104" s="18" t="str">
        <f>IF(Z66=0," - ",Z66)</f>
        <v xml:space="preserve"> - </v>
      </c>
      <c r="AE104" s="18" t="str">
        <f>IF(AB66=0," - ",AB66)</f>
        <v xml:space="preserve"> - </v>
      </c>
      <c r="AF104" s="18">
        <f>Z67</f>
        <v>0</v>
      </c>
      <c r="AG104" s="18">
        <f>AB67</f>
        <v>174</v>
      </c>
      <c r="AH104" s="18">
        <f>Z68</f>
        <v>0</v>
      </c>
      <c r="AI104" s="18" t="str">
        <f>IF(AB68=0," - ",AB68)</f>
        <v xml:space="preserve"> - </v>
      </c>
      <c r="AJ104" s="113">
        <f>AC70</f>
        <v>0</v>
      </c>
      <c r="AK104" s="128">
        <f>AQ4+AE70</f>
        <v>200</v>
      </c>
      <c r="AL104" s="18">
        <f>AF70</f>
        <v>0</v>
      </c>
      <c r="AM104" s="128">
        <f>AH63</f>
        <v>0</v>
      </c>
      <c r="AN104" s="128">
        <f>AI63</f>
        <v>2.3368000000000002</v>
      </c>
    </row>
    <row r="105" spans="2:48" ht="15" x14ac:dyDescent="0.25">
      <c r="Q105" s="74">
        <v>5</v>
      </c>
      <c r="R105" s="100" t="s">
        <v>108</v>
      </c>
      <c r="X105" s="112">
        <f>Z76</f>
        <v>16.899999999999999</v>
      </c>
      <c r="Y105" s="18">
        <f>AB76</f>
        <v>585</v>
      </c>
      <c r="Z105" s="18">
        <f>Z77</f>
        <v>0</v>
      </c>
      <c r="AA105" s="18">
        <f>AB77</f>
        <v>415</v>
      </c>
      <c r="AB105" s="18">
        <f>Z78</f>
        <v>0</v>
      </c>
      <c r="AC105" s="18">
        <f>AB78</f>
        <v>730</v>
      </c>
      <c r="AD105" s="18">
        <f>Z79</f>
        <v>0</v>
      </c>
      <c r="AE105" s="18">
        <f>AB79</f>
        <v>16</v>
      </c>
      <c r="AF105" s="18">
        <f>Z80</f>
        <v>0</v>
      </c>
      <c r="AG105" s="18">
        <f>AB80</f>
        <v>87</v>
      </c>
      <c r="AH105" s="18">
        <f>Z81</f>
        <v>0</v>
      </c>
      <c r="AI105" s="18">
        <f>AB81</f>
        <v>50</v>
      </c>
      <c r="AJ105" s="113">
        <f>AC83</f>
        <v>0</v>
      </c>
      <c r="AK105" s="128">
        <f>AQ4+AE83</f>
        <v>200</v>
      </c>
      <c r="AL105" s="128">
        <f>AF83</f>
        <v>0</v>
      </c>
      <c r="AM105" s="18">
        <f>AH76</f>
        <v>16</v>
      </c>
      <c r="AN105" s="128">
        <f>AI76</f>
        <v>17.168399999999998</v>
      </c>
    </row>
    <row r="106" spans="2:48" ht="15" x14ac:dyDescent="0.25">
      <c r="B106" s="181" t="s">
        <v>213</v>
      </c>
      <c r="C106" s="125"/>
      <c r="Q106" s="74">
        <v>6</v>
      </c>
      <c r="R106" s="100" t="s">
        <v>109</v>
      </c>
      <c r="X106" s="112">
        <f>Z89</f>
        <v>35.599999999999994</v>
      </c>
      <c r="Y106" s="18">
        <f>AB89</f>
        <v>1170</v>
      </c>
      <c r="Z106" s="18">
        <f>Z90</f>
        <v>0</v>
      </c>
      <c r="AA106" s="18">
        <f>AB90</f>
        <v>415</v>
      </c>
      <c r="AB106" s="112">
        <f>Z91</f>
        <v>0</v>
      </c>
      <c r="AC106" s="18">
        <f>AB91</f>
        <v>1460</v>
      </c>
      <c r="AD106" s="18" t="str">
        <f>IF(Z92=0," - ",Z92)</f>
        <v xml:space="preserve"> - </v>
      </c>
      <c r="AE106" s="18" t="str">
        <f>IF(AB92=0," - ",AB92)</f>
        <v xml:space="preserve"> - </v>
      </c>
      <c r="AF106" s="18">
        <f>Z93</f>
        <v>0</v>
      </c>
      <c r="AG106" s="18">
        <f>AB93</f>
        <v>174</v>
      </c>
      <c r="AH106" s="18">
        <f>Z94</f>
        <v>0</v>
      </c>
      <c r="AI106" s="18">
        <f>AB94</f>
        <v>50</v>
      </c>
      <c r="AJ106" s="113">
        <f>AC96</f>
        <v>0</v>
      </c>
      <c r="AK106" s="128">
        <f>AQ4+AE96</f>
        <v>200</v>
      </c>
      <c r="AL106" s="18">
        <f>AF96</f>
        <v>0</v>
      </c>
      <c r="AM106" s="18">
        <f>AH89</f>
        <v>18</v>
      </c>
      <c r="AN106" s="128">
        <f>AI89</f>
        <v>20.3368</v>
      </c>
    </row>
    <row r="107" spans="2:48" ht="15" x14ac:dyDescent="0.25">
      <c r="I107" s="159"/>
      <c r="J107" s="154"/>
    </row>
    <row r="108" spans="2:48" ht="15" x14ac:dyDescent="0.25">
      <c r="I108" s="160"/>
      <c r="J108" s="154"/>
    </row>
    <row r="109" spans="2:48" ht="15.75" x14ac:dyDescent="0.25">
      <c r="C109" s="55" t="str">
        <f>IF($L$250=2,"Ratio"," ")</f>
        <v>Ratio</v>
      </c>
      <c r="D109" s="179">
        <v>4</v>
      </c>
      <c r="I109" s="161"/>
      <c r="J109" s="154"/>
      <c r="R109" s="132" t="str">
        <f>IF(S109&lt;1000,"-00",IF(S109&lt;10000,"-0","-"))</f>
        <v>-0</v>
      </c>
      <c r="S109" s="133">
        <f>C17</f>
        <v>2000</v>
      </c>
      <c r="T109" s="134" t="str">
        <f>IF(U109&lt;1000,"-00",IF(U109&lt;10000,"-0","-"))</f>
        <v>-0</v>
      </c>
      <c r="U109" s="133">
        <f>G17</f>
        <v>2440</v>
      </c>
      <c r="V109" s="134" t="str">
        <f>IF(W109&lt;1000,"-0","-")</f>
        <v>-0</v>
      </c>
      <c r="W109" s="135">
        <f>G16</f>
        <v>500</v>
      </c>
      <c r="AP109" s="221"/>
      <c r="AQ109" s="154"/>
      <c r="AR109" s="154"/>
      <c r="AS109" s="154"/>
      <c r="AT109" s="219"/>
      <c r="AU109" s="216"/>
      <c r="AV109" s="79"/>
    </row>
    <row r="110" spans="2:48" ht="15" x14ac:dyDescent="0.2">
      <c r="C110" s="55" t="str">
        <f>IF($L$250=2,"Effiency factor"," ")</f>
        <v>Effiency factor</v>
      </c>
      <c r="D110" s="180">
        <v>0.9</v>
      </c>
      <c r="R110" s="108"/>
      <c r="S110" s="109"/>
      <c r="T110" s="109"/>
      <c r="U110" s="109"/>
      <c r="V110" s="109"/>
      <c r="W110" s="111" t="str">
        <f>CONCATENATE(V109,W109)</f>
        <v>-0500</v>
      </c>
      <c r="AP110" s="218"/>
      <c r="AQ110" s="214"/>
      <c r="AR110" s="215"/>
      <c r="AS110" s="222"/>
      <c r="AT110" s="218"/>
      <c r="AU110" s="216"/>
      <c r="AV110" s="79"/>
    </row>
    <row r="111" spans="2:48" ht="15" x14ac:dyDescent="0.2">
      <c r="C111" s="55" t="str">
        <f>IF($L$250=2,"Idle torque"," ")</f>
        <v>Idle torque</v>
      </c>
      <c r="D111" s="179">
        <v>0.1</v>
      </c>
      <c r="E111" s="141" t="str">
        <f>IF($L$250=2,"Nm"," ")</f>
        <v>Nm</v>
      </c>
      <c r="AP111" s="218"/>
      <c r="AQ111" s="214"/>
      <c r="AR111" s="215"/>
      <c r="AS111" s="214"/>
      <c r="AT111" s="217"/>
      <c r="AU111" s="216"/>
      <c r="AV111" s="79"/>
    </row>
    <row r="112" spans="2:48" ht="15.75" x14ac:dyDescent="0.25">
      <c r="C112" s="55" t="str">
        <f>IF($L$250=2,"Inertia"," ")</f>
        <v>Inertia</v>
      </c>
      <c r="D112" s="179">
        <v>5.0000000000000002E-5</v>
      </c>
      <c r="E112" s="141" t="str">
        <f>IF($L$250=2,"kg m²"," ")</f>
        <v>kg m²</v>
      </c>
      <c r="Q112" s="55" t="s">
        <v>132</v>
      </c>
      <c r="R112" s="112">
        <f>$C$50*1000/AS4/PI()*60</f>
        <v>1208.7717196852809</v>
      </c>
      <c r="AP112" s="154"/>
      <c r="AQ112" s="154"/>
      <c r="AR112" s="218"/>
      <c r="AS112" s="222"/>
      <c r="AT112" s="219"/>
      <c r="AU112" s="216"/>
      <c r="AV112" s="79"/>
    </row>
    <row r="113" spans="2:48" ht="15.75" x14ac:dyDescent="0.25">
      <c r="Q113" s="55" t="s">
        <v>136</v>
      </c>
      <c r="R113" s="112">
        <f>$C$50*1000/AT4/PI()*60</f>
        <v>499.96317201642506</v>
      </c>
      <c r="T113" s="55" t="s">
        <v>293</v>
      </c>
      <c r="U113" s="18">
        <f>R113*IF(L250=1,1,D109)</f>
        <v>1999.8526880657002</v>
      </c>
      <c r="AP113" s="217"/>
      <c r="AQ113" s="154"/>
      <c r="AR113" s="154"/>
      <c r="AS113" s="154"/>
      <c r="AT113" s="218"/>
      <c r="AU113" s="221"/>
      <c r="AV113" s="79"/>
    </row>
    <row r="114" spans="2:48" ht="15.75" x14ac:dyDescent="0.25">
      <c r="Q114" s="55" t="s">
        <v>137</v>
      </c>
      <c r="R114" s="112">
        <f>$C$50*1000/AU4/PI()*60</f>
        <v>499.96317201642506</v>
      </c>
      <c r="AP114" s="217"/>
      <c r="AQ114" s="154"/>
      <c r="AR114" s="154"/>
      <c r="AS114" s="222"/>
      <c r="AT114" s="217"/>
      <c r="AU114" s="217"/>
      <c r="AV114" s="79"/>
    </row>
    <row r="115" spans="2:48" ht="15.75" x14ac:dyDescent="0.25">
      <c r="AP115" s="216"/>
      <c r="AQ115" s="154"/>
      <c r="AR115" s="218"/>
      <c r="AS115" s="217"/>
      <c r="AT115" s="218"/>
      <c r="AU115" s="217"/>
      <c r="AV115" s="79"/>
    </row>
    <row r="116" spans="2:48" ht="15.75" x14ac:dyDescent="0.25">
      <c r="Q116" s="18" t="s">
        <v>152</v>
      </c>
      <c r="AB116" s="112">
        <f>(2*1.1*AV4+X100)/2</f>
        <v>723.45000000000016</v>
      </c>
      <c r="AC116" s="18" t="s">
        <v>154</v>
      </c>
      <c r="AE116" s="18" t="s">
        <v>155</v>
      </c>
      <c r="AG116" s="112">
        <f>(AX4/AB116)^3*10^6/R113/60</f>
        <v>30198.077263449311</v>
      </c>
      <c r="AH116" s="18" t="s">
        <v>156</v>
      </c>
      <c r="AI116" s="22">
        <f>AG116*3600*$C$50/1000</f>
        <v>108713.07814841752</v>
      </c>
      <c r="AJ116" s="18" t="s">
        <v>169</v>
      </c>
      <c r="AK116" s="18">
        <f>AI116*1000/$C$53/2*1000/$D$90/60/$D$91/$D$92</f>
        <v>337.03211231528252</v>
      </c>
      <c r="AP116" s="216"/>
      <c r="AQ116" s="154"/>
      <c r="AR116" s="218"/>
      <c r="AS116" s="219"/>
      <c r="AT116" s="218"/>
      <c r="AU116" s="219"/>
      <c r="AV116" s="79"/>
    </row>
    <row r="117" spans="2:48" ht="15.75" x14ac:dyDescent="0.25">
      <c r="C117" s="55" t="str">
        <f>IF(OR(L254=2,L254=3),"Nominal torque",IF(L254=4,"Holding torque"," "))</f>
        <v>Nominal torque</v>
      </c>
      <c r="D117" s="147">
        <f>IF(L254=2,Q194,IF(L254=3,R165,IF(L254=4,O222," ")))</f>
        <v>15.6</v>
      </c>
      <c r="E117" s="18" t="str">
        <f>IF(L254=2,"Nm",IF(L254=3,"Nm at max speed",IF(L254=4,"Nm"," ")))</f>
        <v>Nm at max speed</v>
      </c>
      <c r="J117" s="212"/>
      <c r="Q117" s="18" t="s">
        <v>153</v>
      </c>
      <c r="AB117" s="112">
        <f>(2*1.1*AV4+2*X100)/2</f>
        <v>731.90000000000009</v>
      </c>
      <c r="AC117" s="18" t="s">
        <v>154</v>
      </c>
      <c r="AE117" s="18" t="s">
        <v>155</v>
      </c>
      <c r="AG117" s="112">
        <f>(AZ4/AB117)^3*10^6/R114/60</f>
        <v>4341.8740601388135</v>
      </c>
      <c r="AH117" s="18" t="s">
        <v>156</v>
      </c>
      <c r="AI117" s="22">
        <f>AG117*3600*$C$50/1000</f>
        <v>15630.746616499729</v>
      </c>
      <c r="AJ117" s="18" t="s">
        <v>169</v>
      </c>
      <c r="AK117" s="18">
        <f>AI117*1000/$C$53/2*1000/$D$90/60/$D$91/$D$92</f>
        <v>48.458415849763547</v>
      </c>
      <c r="AP117" s="220"/>
      <c r="AQ117" s="154"/>
      <c r="AR117" s="218"/>
      <c r="AS117" s="219"/>
      <c r="AT117" s="218"/>
      <c r="AU117" s="219"/>
      <c r="AV117" s="79"/>
    </row>
    <row r="118" spans="2:48" ht="15.75" x14ac:dyDescent="0.25">
      <c r="C118" s="55" t="str">
        <f>IF($L$254=2,"Nominal speed",IF($L$254=3,"Peak torque"," "))</f>
        <v>Peak torque</v>
      </c>
      <c r="D118" s="183">
        <f>IF(L254=2,O194,IF(L254=3,S165," "))</f>
        <v>54.1</v>
      </c>
      <c r="E118" s="141" t="str">
        <f>IF($L$254=2,"rpm",IF($L$254=3,"Nm"," "))</f>
        <v>Nm</v>
      </c>
      <c r="J118" s="212"/>
      <c r="AP118" s="216"/>
      <c r="AQ118" s="154"/>
      <c r="AR118" s="218"/>
      <c r="AS118" s="219"/>
      <c r="AT118" s="218"/>
      <c r="AU118" s="219"/>
      <c r="AV118" s="79"/>
    </row>
    <row r="119" spans="2:48" ht="15.75" x14ac:dyDescent="0.25">
      <c r="C119" s="55" t="str">
        <f>IF($L$254=2,"Nominal power",IF($L$254=3,"Max speed"," "))</f>
        <v>Max speed</v>
      </c>
      <c r="D119" s="183">
        <f>IF(L254=2,P194,IF(L254=3,O165," "))</f>
        <v>3000</v>
      </c>
      <c r="E119" s="141" t="str">
        <f>IF($L$254=2,"kW",IF($L$254=3,"rpm"," "))</f>
        <v>rpm</v>
      </c>
      <c r="J119" s="212"/>
      <c r="Q119" s="18" t="s">
        <v>159</v>
      </c>
      <c r="T119" s="128">
        <f>AK100</f>
        <v>200</v>
      </c>
      <c r="V119" s="18" t="s">
        <v>157</v>
      </c>
      <c r="AA119" s="55" t="s">
        <v>158</v>
      </c>
      <c r="AB119" s="136">
        <f>IF(T119&gt;=T120,BB4,BD4)</f>
        <v>1</v>
      </c>
      <c r="AP119" s="154"/>
      <c r="AQ119" s="154"/>
      <c r="AR119" s="218"/>
      <c r="AS119" s="219"/>
      <c r="AT119" s="218"/>
      <c r="AU119" s="219"/>
      <c r="AV119" s="79"/>
    </row>
    <row r="120" spans="2:48" ht="15" x14ac:dyDescent="0.25">
      <c r="C120" s="55" t="str">
        <f>IF(L254=3,"Nominal power"," ")</f>
        <v>Nominal power</v>
      </c>
      <c r="D120" s="183">
        <f>IF(L254=3,P165," ")</f>
        <v>4.9000000000000004</v>
      </c>
      <c r="E120" s="18" t="str">
        <f>IF(L254=3,"kW"," ")</f>
        <v>kW</v>
      </c>
      <c r="J120" s="212"/>
      <c r="Q120" s="18" t="s">
        <v>160</v>
      </c>
      <c r="T120" s="128">
        <f>AL100</f>
        <v>0</v>
      </c>
      <c r="AA120" s="55" t="s">
        <v>161</v>
      </c>
      <c r="AB120" s="136">
        <f>IF(T119&gt;=T120,BC4,BE4)</f>
        <v>3.1</v>
      </c>
      <c r="AP120" s="79"/>
      <c r="AQ120" s="79"/>
      <c r="AR120" s="79"/>
      <c r="AS120" s="79"/>
      <c r="AT120" s="79"/>
      <c r="AU120" s="79"/>
      <c r="AV120" s="79"/>
    </row>
    <row r="121" spans="2:48" ht="15" x14ac:dyDescent="0.25">
      <c r="C121" s="185" t="str">
        <f>IF(L254=5,"Customer motor data:"," ")</f>
        <v xml:space="preserve"> </v>
      </c>
      <c r="D121" s="186" t="s">
        <v>305</v>
      </c>
      <c r="E121" s="186"/>
      <c r="F121" s="186"/>
      <c r="G121" s="186"/>
      <c r="H121" s="186"/>
      <c r="I121" s="186"/>
      <c r="AA121" s="55" t="s">
        <v>162</v>
      </c>
      <c r="AB121" s="18">
        <f>AB119*T119+AB120*T120</f>
        <v>200</v>
      </c>
      <c r="AE121" s="18" t="s">
        <v>163</v>
      </c>
      <c r="AG121" s="112">
        <f>(AR4/AB121/D85)^3*10^6/R112/60</f>
        <v>7464.0971793106037</v>
      </c>
      <c r="AH121" s="18" t="s">
        <v>156</v>
      </c>
    </row>
    <row r="122" spans="2:48" ht="15" x14ac:dyDescent="0.25">
      <c r="D122" s="186"/>
      <c r="E122" s="186"/>
      <c r="F122" s="186"/>
      <c r="G122" s="186"/>
      <c r="H122" s="186"/>
      <c r="I122" s="186"/>
    </row>
    <row r="123" spans="2:48" ht="15" x14ac:dyDescent="0.25">
      <c r="D123" s="186"/>
      <c r="E123" s="186"/>
      <c r="F123" s="186"/>
      <c r="G123" s="186"/>
      <c r="H123" s="186"/>
      <c r="I123" s="186"/>
    </row>
    <row r="124" spans="2:48" ht="15" x14ac:dyDescent="0.25">
      <c r="D124" s="186"/>
      <c r="E124" s="186"/>
      <c r="F124" s="186"/>
      <c r="G124" s="186"/>
      <c r="H124" s="186"/>
      <c r="I124" s="186"/>
      <c r="U124" s="249" t="s">
        <v>189</v>
      </c>
      <c r="V124" s="249"/>
      <c r="W124" s="242" t="s">
        <v>196</v>
      </c>
      <c r="X124" s="242"/>
      <c r="Y124" s="18" t="s">
        <v>211</v>
      </c>
      <c r="AC124" s="201" t="s">
        <v>92</v>
      </c>
    </row>
    <row r="125" spans="2:48" ht="15" x14ac:dyDescent="0.25">
      <c r="C125" s="55" t="str">
        <f>IF(L254=5,"Motor inertia:"," ")</f>
        <v xml:space="preserve"> </v>
      </c>
      <c r="D125" s="187">
        <v>2.9999999999999997E-4</v>
      </c>
      <c r="E125" s="30" t="str">
        <f>IF(L254=5,"kg m²"," ")</f>
        <v xml:space="preserve"> </v>
      </c>
      <c r="F125" s="184"/>
      <c r="G125" s="184"/>
      <c r="H125" s="184"/>
      <c r="I125" s="184"/>
      <c r="O125" s="243" t="s">
        <v>185</v>
      </c>
      <c r="P125" s="244"/>
      <c r="Q125" s="244"/>
      <c r="R125" s="244"/>
      <c r="S125" s="244"/>
      <c r="T125" s="245"/>
      <c r="U125" s="145" t="s">
        <v>190</v>
      </c>
      <c r="V125" s="149" t="s">
        <v>13</v>
      </c>
      <c r="W125" s="18" t="s">
        <v>197</v>
      </c>
      <c r="X125" s="18" t="s">
        <v>139</v>
      </c>
      <c r="AB125" s="164" t="s">
        <v>194</v>
      </c>
      <c r="AC125" s="201" t="s">
        <v>309</v>
      </c>
    </row>
    <row r="126" spans="2:48" ht="15" x14ac:dyDescent="0.25">
      <c r="B126" s="73"/>
      <c r="M126" s="122">
        <f>Q4</f>
        <v>1</v>
      </c>
      <c r="N126" s="18" t="str">
        <f>VLOOKUP($M$126,$M$127:T129,2)</f>
        <v>WH50</v>
      </c>
      <c r="O126" s="18">
        <f>VLOOKUP($M$126,$M$127:U129,3)</f>
        <v>150</v>
      </c>
      <c r="P126" s="18">
        <f>VLOOKUP($M$126,$M$127:U129,4)</f>
        <v>1500</v>
      </c>
      <c r="Q126" s="18">
        <f>VLOOKUP($M$126,$M$127:U129,5)</f>
        <v>3250</v>
      </c>
      <c r="R126" s="18">
        <f>VLOOKUP($M$126,$M$127:V129,6)</f>
        <v>1.7</v>
      </c>
      <c r="S126" s="18">
        <f>VLOOKUP($M$126,$M$127:W129,7)</f>
        <v>2.4</v>
      </c>
      <c r="T126" s="18">
        <f>VLOOKUP($M$126,$M$127:X129,8)</f>
        <v>3.8</v>
      </c>
      <c r="U126" s="18">
        <f>VLOOKUP($M$126,$M$127:Y129,9)</f>
        <v>5.5E-2</v>
      </c>
      <c r="V126" s="149">
        <f>U126*G17/1000*2</f>
        <v>0.26839999999999997</v>
      </c>
      <c r="W126" s="18">
        <f>VLOOKUP($M$126,$M$127:AA129,11)</f>
        <v>45</v>
      </c>
      <c r="X126" s="18">
        <f>VLOOKUP($M$126,$M$127:AB129,12)</f>
        <v>20</v>
      </c>
      <c r="Y126" s="18">
        <f>VLOOKUP($M$126,$M$127:AC129,13)</f>
        <v>8.0000000000000004E-4</v>
      </c>
      <c r="Z126" s="18">
        <f>VLOOKUP($M$126,$M$127:AD129,14)</f>
        <v>2.4000000000000001E-4</v>
      </c>
      <c r="AA126" s="18" t="str">
        <f>VLOOKUP($M$126,$M$127:AE129,15)</f>
        <v>GS14</v>
      </c>
      <c r="AB126" s="18">
        <f>VLOOKUP($M$126,$M$127:AF129,16)</f>
        <v>6.4999999999999996E-6</v>
      </c>
      <c r="AC126" s="18">
        <f>VLOOKUP($M$126,$M$127:AG129,17)</f>
        <v>17</v>
      </c>
    </row>
    <row r="127" spans="2:48" ht="15" x14ac:dyDescent="0.25">
      <c r="B127" s="193" t="s">
        <v>299</v>
      </c>
      <c r="M127" s="18">
        <v>1</v>
      </c>
      <c r="N127" s="18" t="s">
        <v>17</v>
      </c>
      <c r="O127" s="18">
        <v>150</v>
      </c>
      <c r="P127" s="18">
        <v>1500</v>
      </c>
      <c r="Q127" s="18">
        <v>3250</v>
      </c>
      <c r="R127" s="18">
        <v>1.7</v>
      </c>
      <c r="S127" s="18">
        <v>2.4</v>
      </c>
      <c r="T127" s="18">
        <v>3.8</v>
      </c>
      <c r="U127" s="18">
        <v>5.5E-2</v>
      </c>
      <c r="W127" s="18">
        <v>45</v>
      </c>
      <c r="X127" s="18">
        <v>20</v>
      </c>
      <c r="Y127" s="18">
        <v>8.0000000000000004E-4</v>
      </c>
      <c r="Z127" s="18">
        <v>2.4000000000000001E-4</v>
      </c>
      <c r="AA127" s="18" t="s">
        <v>280</v>
      </c>
      <c r="AB127" s="18">
        <f>0.0000065</f>
        <v>6.4999999999999996E-6</v>
      </c>
      <c r="AC127" s="18">
        <v>17</v>
      </c>
    </row>
    <row r="128" spans="2:48" ht="15" x14ac:dyDescent="0.25">
      <c r="C128" s="55" t="s">
        <v>301</v>
      </c>
      <c r="D128" s="155">
        <f>V142</f>
        <v>0.62262844041388832</v>
      </c>
      <c r="E128" s="18" t="s">
        <v>40</v>
      </c>
      <c r="M128" s="18">
        <v>2</v>
      </c>
      <c r="N128" s="18" t="s">
        <v>18</v>
      </c>
      <c r="O128" s="18">
        <v>150</v>
      </c>
      <c r="P128" s="18">
        <v>1500</v>
      </c>
      <c r="Q128" s="18">
        <v>3000</v>
      </c>
      <c r="R128" s="18">
        <v>2.4</v>
      </c>
      <c r="S128" s="18">
        <v>3.5</v>
      </c>
      <c r="T128" s="18">
        <v>5</v>
      </c>
      <c r="U128" s="18">
        <v>0.21</v>
      </c>
      <c r="W128" s="18">
        <v>70</v>
      </c>
      <c r="X128" s="18">
        <v>37</v>
      </c>
      <c r="Y128" s="18">
        <v>8.0000000000000004E-4</v>
      </c>
      <c r="Z128" s="18">
        <v>4.6000000000000001E-4</v>
      </c>
      <c r="AA128" s="18" t="s">
        <v>281</v>
      </c>
      <c r="AB128" s="18">
        <v>1.21E-4</v>
      </c>
      <c r="AC128" s="18">
        <v>100</v>
      </c>
    </row>
    <row r="129" spans="1:29" ht="15" x14ac:dyDescent="0.25">
      <c r="C129" s="55" t="s">
        <v>302</v>
      </c>
      <c r="D129" s="155">
        <f>V143</f>
        <v>1.3097353188218288</v>
      </c>
      <c r="E129" s="18" t="s">
        <v>40</v>
      </c>
      <c r="M129" s="18">
        <v>3</v>
      </c>
      <c r="N129" s="18" t="s">
        <v>19</v>
      </c>
      <c r="O129" s="18">
        <v>150</v>
      </c>
      <c r="P129" s="18">
        <v>1500</v>
      </c>
      <c r="Q129" s="18">
        <v>2308</v>
      </c>
      <c r="R129" s="18">
        <v>4.8499999999999996</v>
      </c>
      <c r="S129" s="18">
        <v>7</v>
      </c>
      <c r="T129" s="18">
        <v>10</v>
      </c>
      <c r="U129" s="18">
        <v>0.34</v>
      </c>
      <c r="W129" s="18">
        <v>110</v>
      </c>
      <c r="X129" s="18">
        <v>56</v>
      </c>
      <c r="Y129" s="18">
        <v>5.7999999999999996E-3</v>
      </c>
      <c r="Z129" s="18">
        <v>6.0000000000000001E-3</v>
      </c>
      <c r="AA129" s="18" t="s">
        <v>282</v>
      </c>
      <c r="AB129" s="18">
        <v>4.66E-4</v>
      </c>
      <c r="AC129" s="18">
        <v>200</v>
      </c>
    </row>
    <row r="130" spans="1:29" ht="15" x14ac:dyDescent="0.25">
      <c r="C130" s="55" t="s">
        <v>303</v>
      </c>
      <c r="D130" s="155">
        <f>D128*D132/9550</f>
        <v>0.13038378641129519</v>
      </c>
      <c r="E130" s="18" t="s">
        <v>220</v>
      </c>
    </row>
    <row r="131" spans="1:29" ht="15" x14ac:dyDescent="0.25">
      <c r="C131" s="55" t="s">
        <v>304</v>
      </c>
      <c r="D131" s="155">
        <f>D129*D132/9550</f>
        <v>0.27426991602098655</v>
      </c>
      <c r="E131" s="18" t="s">
        <v>220</v>
      </c>
      <c r="F131" s="192">
        <f>D132/D118*50</f>
        <v>1848.2926876762481</v>
      </c>
      <c r="G131" s="18" t="str">
        <f>IF(L254=2,"Hz"," ")</f>
        <v xml:space="preserve"> </v>
      </c>
      <c r="L131" s="18" t="s">
        <v>186</v>
      </c>
      <c r="N131" s="148">
        <f>IF(R113&lt;=150,R126,IF(AND(R113&gt;150,R113&lt;=1500),R126+(R113-150)/1350*(S126-R126),S126+(R113-1500)/(Q126-1500)*(T126-S126)))</f>
        <v>1.8814623854899981</v>
      </c>
      <c r="O131" s="18" t="s">
        <v>187</v>
      </c>
    </row>
    <row r="132" spans="1:29" ht="15" x14ac:dyDescent="0.25">
      <c r="C132" s="55" t="s">
        <v>300</v>
      </c>
      <c r="D132" s="140">
        <f>U113</f>
        <v>1999.8526880657002</v>
      </c>
      <c r="E132" s="18" t="s">
        <v>217</v>
      </c>
      <c r="N132" s="148">
        <f>(S10-1)*AM4*AT4/2/1000</f>
        <v>0</v>
      </c>
      <c r="O132" s="18" t="s">
        <v>188</v>
      </c>
    </row>
    <row r="133" spans="1:29" ht="15" x14ac:dyDescent="0.25">
      <c r="C133" s="55" t="s">
        <v>297</v>
      </c>
      <c r="D133" s="147">
        <f>R159</f>
        <v>1.0247936044364283</v>
      </c>
      <c r="M133" s="18" t="s">
        <v>89</v>
      </c>
      <c r="N133" s="148">
        <f>(N132+N131)*Q15</f>
        <v>1.8814623854899981</v>
      </c>
      <c r="O133" s="18" t="s">
        <v>40</v>
      </c>
    </row>
    <row r="134" spans="1:29" x14ac:dyDescent="0.2"/>
    <row r="135" spans="1:29" ht="15" x14ac:dyDescent="0.25">
      <c r="A135" s="195" t="s">
        <v>306</v>
      </c>
      <c r="B135" s="196"/>
      <c r="C135" s="196"/>
      <c r="D135" s="196"/>
      <c r="E135" s="196"/>
      <c r="F135" s="196"/>
      <c r="G135" s="196"/>
      <c r="H135" s="196"/>
      <c r="I135" s="196"/>
      <c r="J135" s="196"/>
    </row>
    <row r="136" spans="1:29" x14ac:dyDescent="0.2">
      <c r="A136" s="196"/>
      <c r="B136" s="196"/>
      <c r="C136" s="196"/>
      <c r="D136" s="196"/>
      <c r="E136" s="196"/>
      <c r="F136" s="196"/>
      <c r="G136" s="196"/>
      <c r="H136" s="196"/>
      <c r="I136" s="196"/>
      <c r="J136" s="196"/>
    </row>
    <row r="137" spans="1:29" x14ac:dyDescent="0.2">
      <c r="A137" s="196"/>
      <c r="B137" s="196"/>
      <c r="C137" s="196"/>
      <c r="D137" s="196"/>
      <c r="E137" s="196"/>
      <c r="F137" s="196"/>
      <c r="G137" s="196"/>
      <c r="H137" s="196"/>
      <c r="I137" s="196"/>
      <c r="J137" s="196"/>
    </row>
    <row r="138" spans="1:29" x14ac:dyDescent="0.2">
      <c r="A138" s="196"/>
      <c r="B138" s="196"/>
      <c r="C138" s="196"/>
      <c r="D138" s="196"/>
      <c r="E138" s="196"/>
      <c r="F138" s="196"/>
      <c r="G138" s="196"/>
      <c r="H138" s="196"/>
      <c r="I138" s="196"/>
      <c r="J138" s="196"/>
    </row>
    <row r="139" spans="1:29" x14ac:dyDescent="0.2">
      <c r="A139" s="196"/>
      <c r="B139" s="196"/>
      <c r="C139" s="196"/>
      <c r="D139" s="196"/>
      <c r="E139" s="196"/>
      <c r="F139" s="196"/>
      <c r="G139" s="196"/>
      <c r="H139" s="196"/>
      <c r="I139" s="196"/>
      <c r="J139" s="196"/>
    </row>
    <row r="140" spans="1:29" x14ac:dyDescent="0.2">
      <c r="A140" s="196"/>
      <c r="B140" s="196"/>
      <c r="C140" s="196"/>
      <c r="D140" s="196"/>
      <c r="E140" s="196"/>
      <c r="F140" s="196"/>
      <c r="G140" s="196"/>
      <c r="H140" s="196"/>
      <c r="I140" s="196"/>
      <c r="J140" s="196"/>
    </row>
    <row r="141" spans="1:29" x14ac:dyDescent="0.2">
      <c r="A141" s="196"/>
      <c r="B141" s="196"/>
      <c r="C141" s="196"/>
      <c r="D141" s="196"/>
      <c r="E141" s="196"/>
      <c r="F141" s="196"/>
      <c r="G141" s="197"/>
      <c r="H141" s="197"/>
      <c r="I141" s="197"/>
      <c r="J141" s="197"/>
    </row>
    <row r="142" spans="1:29" ht="15" x14ac:dyDescent="0.25">
      <c r="A142" s="196"/>
      <c r="B142" s="196"/>
      <c r="C142" s="196"/>
      <c r="D142" s="196"/>
      <c r="E142" s="196"/>
      <c r="F142" s="196"/>
      <c r="G142" s="197"/>
      <c r="H142" s="194"/>
      <c r="I142" s="198"/>
      <c r="J142" s="198"/>
      <c r="L142" s="18" t="s">
        <v>203</v>
      </c>
      <c r="P142" s="18">
        <f>N133+AM100*AT4/2/1000</f>
        <v>1.8814623854899981</v>
      </c>
      <c r="Q142" s="18" t="s">
        <v>40</v>
      </c>
      <c r="R142" s="18" t="s">
        <v>292</v>
      </c>
      <c r="V142" s="18">
        <f>IF(L250=1,P142/0.99,P142/D109/D110+D111)</f>
        <v>0.62262844041388832</v>
      </c>
      <c r="W142" s="18" t="s">
        <v>40</v>
      </c>
      <c r="Y142" s="54" t="s">
        <v>298</v>
      </c>
    </row>
    <row r="143" spans="1:29" ht="15" x14ac:dyDescent="0.25">
      <c r="A143" s="196"/>
      <c r="B143" s="196"/>
      <c r="C143" s="196"/>
      <c r="D143" s="196"/>
      <c r="E143" s="196"/>
      <c r="F143" s="196"/>
      <c r="G143" s="197"/>
      <c r="H143" s="194"/>
      <c r="I143" s="198"/>
      <c r="J143" s="198"/>
      <c r="L143" s="18" t="s">
        <v>204</v>
      </c>
      <c r="P143" s="18">
        <f>N133+AN100*AT4/2/1000</f>
        <v>2.2093788254899982</v>
      </c>
      <c r="Q143" s="18" t="s">
        <v>40</v>
      </c>
      <c r="R143" s="18" t="s">
        <v>294</v>
      </c>
      <c r="V143" s="191">
        <f>AC152+V142</f>
        <v>1.3097353188218288</v>
      </c>
      <c r="W143" s="18" t="s">
        <v>295</v>
      </c>
    </row>
    <row r="144" spans="1:29" ht="15" x14ac:dyDescent="0.25">
      <c r="A144" s="196"/>
      <c r="B144" s="196"/>
      <c r="C144" s="196"/>
      <c r="D144" s="196"/>
      <c r="E144" s="196"/>
      <c r="F144" s="196"/>
      <c r="G144" s="197"/>
      <c r="H144" s="194"/>
      <c r="I144" s="198"/>
      <c r="J144" s="198"/>
    </row>
    <row r="145" spans="1:32" ht="15" x14ac:dyDescent="0.25">
      <c r="A145" s="196"/>
      <c r="B145" s="196"/>
      <c r="C145" s="196"/>
      <c r="D145" s="196"/>
      <c r="E145" s="196"/>
      <c r="F145" s="196"/>
      <c r="G145" s="197"/>
      <c r="H145" s="199"/>
      <c r="I145" s="198"/>
      <c r="J145" s="198"/>
      <c r="P145" s="18">
        <f>P143-P142</f>
        <v>0.32791644000000009</v>
      </c>
    </row>
    <row r="146" spans="1:32" x14ac:dyDescent="0.2">
      <c r="A146" s="196"/>
      <c r="B146" s="196"/>
      <c r="C146" s="196"/>
      <c r="D146" s="196"/>
      <c r="E146" s="196"/>
      <c r="F146" s="196"/>
      <c r="G146" s="197"/>
      <c r="H146" s="197"/>
      <c r="I146" s="197"/>
      <c r="J146" s="197"/>
    </row>
    <row r="147" spans="1:32" ht="15" hidden="1" x14ac:dyDescent="0.25">
      <c r="AA147" s="164" t="s">
        <v>138</v>
      </c>
      <c r="AB147" s="164"/>
      <c r="AC147" s="164" t="s">
        <v>291</v>
      </c>
      <c r="AF147" t="s">
        <v>314</v>
      </c>
    </row>
    <row r="148" spans="1:32" ht="15" hidden="1" x14ac:dyDescent="0.25">
      <c r="AA148" s="164" t="s">
        <v>290</v>
      </c>
      <c r="AB148" s="164"/>
      <c r="AC148" s="164" t="s">
        <v>290</v>
      </c>
      <c r="AF148" t="s">
        <v>321</v>
      </c>
    </row>
    <row r="149" spans="1:32" ht="15.75" hidden="1" x14ac:dyDescent="0.25">
      <c r="L149" s="18" t="s">
        <v>195</v>
      </c>
      <c r="Q149" s="18" t="s">
        <v>193</v>
      </c>
      <c r="T149" s="18">
        <f>(V126+C47+AJ4*S10*Q15)*(C50*60/2/PI()/R113)^2</f>
        <v>4.262440040000003E-4</v>
      </c>
      <c r="U149" s="18" t="s">
        <v>194</v>
      </c>
      <c r="Y149" s="162" t="s">
        <v>214</v>
      </c>
      <c r="Z149"/>
      <c r="AA149" s="188">
        <f>S153</f>
        <v>4.62932547145129E-4</v>
      </c>
      <c r="AB149" s="163" t="s">
        <v>215</v>
      </c>
      <c r="AC149" s="188">
        <f>IF(L250=1,S153+T154+T156,(S153+T154)/D109^2/D110+T155+T156)</f>
        <v>3.2825994824406341E-3</v>
      </c>
      <c r="AD149" s="163" t="s">
        <v>215</v>
      </c>
      <c r="AF149" t="s">
        <v>322</v>
      </c>
    </row>
    <row r="150" spans="1:32" ht="15" hidden="1" x14ac:dyDescent="0.25">
      <c r="L150" s="18" t="s">
        <v>198</v>
      </c>
      <c r="N150" s="18" t="s">
        <v>199</v>
      </c>
      <c r="T150" s="153">
        <f>PI()*AT4^2/4*W126*2.7/10^6/2*(AT4/2/1000)^2*Q15</f>
        <v>2.5399760638935242E-5</v>
      </c>
      <c r="U150" s="18" t="s">
        <v>194</v>
      </c>
      <c r="Y150" s="162" t="s">
        <v>216</v>
      </c>
      <c r="Z150"/>
      <c r="AA150" s="189">
        <f>R113</f>
        <v>499.96317201642506</v>
      </c>
      <c r="AB150" s="163" t="s">
        <v>217</v>
      </c>
      <c r="AC150" s="189">
        <f>U113</f>
        <v>1999.8526880657002</v>
      </c>
      <c r="AD150" s="163" t="s">
        <v>217</v>
      </c>
      <c r="AF150" t="s">
        <v>323</v>
      </c>
    </row>
    <row r="151" spans="1:32" ht="15" hidden="1" x14ac:dyDescent="0.25">
      <c r="L151" s="18" t="s">
        <v>200</v>
      </c>
      <c r="T151" s="18">
        <f>PI()*AU4^2/4*X126*2.7/10^6/2*(AU4/2/1000)^2*Q15</f>
        <v>1.1288782506193444E-5</v>
      </c>
      <c r="U151" s="18" t="s">
        <v>194</v>
      </c>
      <c r="Y151" s="162" t="s">
        <v>218</v>
      </c>
      <c r="Z151"/>
      <c r="AA151" s="188">
        <f>C50/C51</f>
        <v>1</v>
      </c>
      <c r="AB151" s="163" t="s">
        <v>65</v>
      </c>
      <c r="AC151" s="188">
        <f>AA151</f>
        <v>1</v>
      </c>
      <c r="AD151" s="163" t="s">
        <v>65</v>
      </c>
      <c r="AF151" t="s">
        <v>324</v>
      </c>
    </row>
    <row r="152" spans="1:32" ht="15" hidden="1" x14ac:dyDescent="0.25">
      <c r="L152" s="18" t="s">
        <v>212</v>
      </c>
      <c r="T152" s="18">
        <f>S15*(Y126*D20/1000+2*Z126)</f>
        <v>0</v>
      </c>
      <c r="U152" s="18" t="s">
        <v>194</v>
      </c>
      <c r="Y152"/>
      <c r="Z152"/>
      <c r="AA152" s="190">
        <f>AA149*3.14*AA150/30/AA151</f>
        <v>2.4225018851967033E-2</v>
      </c>
      <c r="AB152" s="163" t="s">
        <v>40</v>
      </c>
      <c r="AC152" s="190">
        <f>AC149*3.14*AC150/30/AC151</f>
        <v>0.68710687840794049</v>
      </c>
      <c r="AD152" s="163" t="s">
        <v>40</v>
      </c>
      <c r="AF152" t="s">
        <v>320</v>
      </c>
    </row>
    <row r="153" spans="1:32" hidden="1" x14ac:dyDescent="0.2">
      <c r="S153" s="18">
        <f>SUM(T149:T152)</f>
        <v>4.62932547145129E-4</v>
      </c>
    </row>
    <row r="154" spans="1:32" hidden="1" x14ac:dyDescent="0.2">
      <c r="L154" s="18" t="s">
        <v>286</v>
      </c>
      <c r="T154" s="18">
        <f>AB126</f>
        <v>6.4999999999999996E-6</v>
      </c>
    </row>
    <row r="155" spans="1:32" hidden="1" x14ac:dyDescent="0.2">
      <c r="L155" s="18" t="s">
        <v>287</v>
      </c>
      <c r="T155" s="18">
        <f>IF(L250=2,D112,0)</f>
        <v>5.0000000000000002E-5</v>
      </c>
    </row>
    <row r="156" spans="1:32" hidden="1" x14ac:dyDescent="0.2">
      <c r="L156" s="18" t="s">
        <v>288</v>
      </c>
      <c r="T156" s="18">
        <f>IF(L254=1,0,IF(L254=2,R194,IF(L254=3,V165,IF(L254=4,P222,IF(L254=5,D125,0)))))</f>
        <v>3.2000000000000002E-3</v>
      </c>
    </row>
    <row r="157" spans="1:32" hidden="1" x14ac:dyDescent="0.2"/>
    <row r="158" spans="1:32" hidden="1" x14ac:dyDescent="0.2">
      <c r="M158" s="18" t="s">
        <v>296</v>
      </c>
      <c r="S158" s="18">
        <f>(S153+T154)/IF(L250=1,1,D109^2)+T155+T156</f>
        <v>3.2793395341965707E-3</v>
      </c>
    </row>
    <row r="159" spans="1:32" hidden="1" x14ac:dyDescent="0.2">
      <c r="M159" s="18" t="s">
        <v>297</v>
      </c>
      <c r="R159" s="18">
        <f>S158/T156</f>
        <v>1.0247936044364283</v>
      </c>
    </row>
    <row r="160" spans="1:32" hidden="1" x14ac:dyDescent="0.2"/>
    <row r="161" spans="12:25" hidden="1" x14ac:dyDescent="0.2"/>
    <row r="162" spans="12:25" hidden="1" x14ac:dyDescent="0.2">
      <c r="L162" s="164">
        <v>1</v>
      </c>
      <c r="M162" s="164">
        <v>2</v>
      </c>
      <c r="N162" s="164">
        <v>3</v>
      </c>
      <c r="O162" s="164">
        <v>4</v>
      </c>
      <c r="P162" s="164">
        <v>5</v>
      </c>
      <c r="Q162" s="164">
        <v>6</v>
      </c>
      <c r="R162" s="164">
        <v>7</v>
      </c>
      <c r="S162" s="164">
        <v>8</v>
      </c>
      <c r="T162" s="164">
        <v>9</v>
      </c>
      <c r="U162" s="164">
        <v>10</v>
      </c>
      <c r="V162" s="164">
        <v>11</v>
      </c>
      <c r="W162" s="164">
        <v>12</v>
      </c>
      <c r="X162" s="164">
        <v>13</v>
      </c>
      <c r="Y162" s="164">
        <v>14</v>
      </c>
    </row>
    <row r="163" spans="12:25" hidden="1" x14ac:dyDescent="0.2"/>
    <row r="164" spans="12:25" ht="15" hidden="1" x14ac:dyDescent="0.25">
      <c r="M164" s="165" t="s">
        <v>277</v>
      </c>
      <c r="N164" s="165"/>
      <c r="O164" s="165" t="s">
        <v>219</v>
      </c>
      <c r="P164" s="166" t="s">
        <v>220</v>
      </c>
      <c r="Q164" s="166" t="s">
        <v>221</v>
      </c>
      <c r="R164" s="165" t="s">
        <v>222</v>
      </c>
      <c r="S164" s="165" t="s">
        <v>223</v>
      </c>
      <c r="T164" s="166" t="s">
        <v>214</v>
      </c>
      <c r="U164" s="165" t="s">
        <v>224</v>
      </c>
      <c r="V164" s="165"/>
      <c r="W164" s="166" t="s">
        <v>225</v>
      </c>
      <c r="X164" s="166" t="s">
        <v>226</v>
      </c>
      <c r="Y164" s="166" t="s">
        <v>227</v>
      </c>
    </row>
    <row r="165" spans="12:25" ht="15" hidden="1" x14ac:dyDescent="0.25">
      <c r="L165" s="165"/>
      <c r="M165" s="182" t="str">
        <f>VLOOKUP($L$262,$L$166:M189,M$162)</f>
        <v>AKM64L</v>
      </c>
      <c r="N165" s="182">
        <f>VLOOKUP($L$262,$L$166:N189,N162)</f>
        <v>0</v>
      </c>
      <c r="O165" s="182">
        <f>VLOOKUP($L$262,$L$166:O189,O162)</f>
        <v>3000</v>
      </c>
      <c r="P165" s="182">
        <f>VLOOKUP($L$262,$L$166:P189,P162)</f>
        <v>4.9000000000000004</v>
      </c>
      <c r="Q165" s="182">
        <f>VLOOKUP($L$262,$L$166:Q189,Q162)</f>
        <v>21</v>
      </c>
      <c r="R165" s="182">
        <f>VLOOKUP($L$262,$L$166:R189,R162)</f>
        <v>15.6</v>
      </c>
      <c r="S165" s="182">
        <f>VLOOKUP($L$262,$L$166:S189,S162)</f>
        <v>54.1</v>
      </c>
      <c r="T165" s="182">
        <f>VLOOKUP($L$262,$L$166:T189,T162)</f>
        <v>3.2000000000000002E-3</v>
      </c>
      <c r="U165" s="182">
        <f>VLOOKUP($L$262,$L$166:U189,U162)</f>
        <v>6.0999999999999999E-5</v>
      </c>
      <c r="V165" s="182">
        <f>VLOOKUP($L$262,$L$166:V189,V162)</f>
        <v>3.2000000000000002E-3</v>
      </c>
      <c r="W165" s="182">
        <f>VLOOKUP($L$262,$L$166:W189,W162)</f>
        <v>1.66</v>
      </c>
      <c r="X165" s="182">
        <f>VLOOKUP($L$262,$L$166:X189,X162)</f>
        <v>107</v>
      </c>
      <c r="Y165" s="182">
        <f>VLOOKUP($L$262,$L$166:Y189,Y162)</f>
        <v>0.71</v>
      </c>
    </row>
    <row r="166" spans="12:25" ht="15" hidden="1" x14ac:dyDescent="0.25">
      <c r="L166" s="166">
        <v>1</v>
      </c>
      <c r="M166" s="165" t="s">
        <v>228</v>
      </c>
      <c r="N166" s="165"/>
      <c r="O166" s="166">
        <v>5000</v>
      </c>
      <c r="P166" s="166">
        <v>0.52</v>
      </c>
      <c r="Q166" s="166">
        <v>1.1499999999999999</v>
      </c>
      <c r="R166" s="166">
        <v>1</v>
      </c>
      <c r="S166" s="166">
        <v>3.88</v>
      </c>
      <c r="T166" s="166">
        <v>3.3000000000000003E-5</v>
      </c>
      <c r="U166" s="166">
        <v>1.1999999999999999E-6</v>
      </c>
      <c r="V166" s="166">
        <f t="shared" ref="V166:V180" si="3">IF($O$254=2,T166+U166,T166)</f>
        <v>3.3000000000000003E-5</v>
      </c>
      <c r="W166" s="166">
        <v>0.85</v>
      </c>
      <c r="X166" s="166">
        <v>54.5</v>
      </c>
      <c r="Y166" s="166">
        <v>21.4</v>
      </c>
    </row>
    <row r="167" spans="12:25" ht="15" hidden="1" x14ac:dyDescent="0.25">
      <c r="L167" s="166">
        <v>2</v>
      </c>
      <c r="M167" s="165" t="s">
        <v>229</v>
      </c>
      <c r="N167" s="165"/>
      <c r="O167" s="166">
        <v>3000</v>
      </c>
      <c r="P167" s="166">
        <v>0.57999999999999996</v>
      </c>
      <c r="Q167" s="166">
        <v>2</v>
      </c>
      <c r="R167" s="166">
        <v>1.86</v>
      </c>
      <c r="S167" s="166">
        <v>6.92</v>
      </c>
      <c r="T167" s="166">
        <v>5.8999999999999998E-5</v>
      </c>
      <c r="U167" s="166">
        <v>1.1999999999999999E-6</v>
      </c>
      <c r="V167" s="166">
        <f t="shared" si="3"/>
        <v>5.8999999999999998E-5</v>
      </c>
      <c r="W167" s="166">
        <v>1.4</v>
      </c>
      <c r="X167" s="166">
        <v>89.8</v>
      </c>
      <c r="Y167" s="166">
        <v>23</v>
      </c>
    </row>
    <row r="168" spans="12:25" ht="15" hidden="1" x14ac:dyDescent="0.25">
      <c r="L168" s="166">
        <v>3</v>
      </c>
      <c r="M168" s="165" t="s">
        <v>230</v>
      </c>
      <c r="N168" s="165"/>
      <c r="O168" s="166">
        <v>4500</v>
      </c>
      <c r="P168" s="166">
        <v>1.1000000000000001</v>
      </c>
      <c r="Q168" s="166">
        <v>2.79</v>
      </c>
      <c r="R168" s="166">
        <v>2.34</v>
      </c>
      <c r="S168" s="166">
        <v>9.9600000000000009</v>
      </c>
      <c r="T168" s="167">
        <v>8.5000000000000006E-5</v>
      </c>
      <c r="U168" s="166">
        <v>1.1999999999999999E-6</v>
      </c>
      <c r="V168" s="166">
        <f t="shared" si="3"/>
        <v>8.5000000000000006E-5</v>
      </c>
      <c r="W168" s="166">
        <v>1.1000000000000001</v>
      </c>
      <c r="X168" s="166">
        <v>70.599999999999994</v>
      </c>
      <c r="Y168" s="166">
        <v>8.36</v>
      </c>
    </row>
    <row r="169" spans="12:25" ht="15" hidden="1" x14ac:dyDescent="0.25">
      <c r="L169" s="166">
        <v>4</v>
      </c>
      <c r="M169" s="165" t="s">
        <v>231</v>
      </c>
      <c r="N169" s="165"/>
      <c r="O169" s="166">
        <v>3000</v>
      </c>
      <c r="P169" s="166">
        <v>0.56000000000000005</v>
      </c>
      <c r="Q169" s="166">
        <v>1.95</v>
      </c>
      <c r="R169" s="166">
        <v>1.77</v>
      </c>
      <c r="S169" s="166">
        <v>6.12</v>
      </c>
      <c r="T169" s="166">
        <v>8.1000000000000004E-5</v>
      </c>
      <c r="U169" s="166">
        <v>6.8000000000000001E-6</v>
      </c>
      <c r="V169" s="166">
        <f t="shared" si="3"/>
        <v>8.1000000000000004E-5</v>
      </c>
      <c r="W169" s="166">
        <v>1.34</v>
      </c>
      <c r="X169" s="166">
        <v>86.3</v>
      </c>
      <c r="Y169" s="166">
        <v>21.7</v>
      </c>
    </row>
    <row r="170" spans="12:25" ht="15" hidden="1" x14ac:dyDescent="0.25">
      <c r="L170" s="166">
        <v>5</v>
      </c>
      <c r="M170" s="165" t="s">
        <v>232</v>
      </c>
      <c r="N170" s="165"/>
      <c r="O170" s="166">
        <v>3500</v>
      </c>
      <c r="P170" s="166">
        <v>1.03</v>
      </c>
      <c r="Q170" s="166">
        <v>3.42</v>
      </c>
      <c r="R170" s="166">
        <v>2.81</v>
      </c>
      <c r="S170" s="166">
        <v>11.3</v>
      </c>
      <c r="T170" s="166">
        <v>1.4999999999999999E-4</v>
      </c>
      <c r="U170" s="166">
        <v>6.8000000000000001E-6</v>
      </c>
      <c r="V170" s="166">
        <f t="shared" si="3"/>
        <v>1.4999999999999999E-4</v>
      </c>
      <c r="W170" s="166">
        <v>1.26</v>
      </c>
      <c r="X170" s="166">
        <v>80.900000000000006</v>
      </c>
      <c r="Y170" s="166">
        <v>7.22</v>
      </c>
    </row>
    <row r="171" spans="12:25" ht="15" hidden="1" x14ac:dyDescent="0.25">
      <c r="L171" s="166">
        <v>6</v>
      </c>
      <c r="M171" s="165" t="s">
        <v>233</v>
      </c>
      <c r="N171" s="165"/>
      <c r="O171" s="166">
        <v>2500</v>
      </c>
      <c r="P171" s="166">
        <v>1.03</v>
      </c>
      <c r="Q171" s="166">
        <v>4.7</v>
      </c>
      <c r="R171" s="166">
        <v>3.92</v>
      </c>
      <c r="S171" s="166">
        <v>15.9</v>
      </c>
      <c r="T171" s="166">
        <v>2.1000000000000001E-4</v>
      </c>
      <c r="U171" s="166">
        <v>6.8000000000000001E-6</v>
      </c>
      <c r="V171" s="166">
        <f t="shared" si="3"/>
        <v>2.1000000000000001E-4</v>
      </c>
      <c r="W171" s="166">
        <v>1.72</v>
      </c>
      <c r="X171" s="166">
        <v>111</v>
      </c>
      <c r="Y171" s="166">
        <v>8.0399999999999991</v>
      </c>
    </row>
    <row r="172" spans="12:25" ht="15" hidden="1" x14ac:dyDescent="0.25">
      <c r="L172" s="166">
        <v>7</v>
      </c>
      <c r="M172" s="165" t="s">
        <v>234</v>
      </c>
      <c r="N172" s="165"/>
      <c r="O172" s="166">
        <v>4000</v>
      </c>
      <c r="P172" s="166">
        <v>1.57</v>
      </c>
      <c r="Q172" s="166">
        <v>5.88</v>
      </c>
      <c r="R172" s="166">
        <v>3.76</v>
      </c>
      <c r="S172" s="166">
        <v>20.2</v>
      </c>
      <c r="T172" s="166">
        <v>2.7E-4</v>
      </c>
      <c r="U172" s="166">
        <v>6.8000000000000001E-6</v>
      </c>
      <c r="V172" s="166">
        <f t="shared" si="3"/>
        <v>2.7E-4</v>
      </c>
      <c r="W172" s="166">
        <v>1.19</v>
      </c>
      <c r="X172" s="166">
        <v>76.599999999999994</v>
      </c>
      <c r="Y172" s="166">
        <v>2.65</v>
      </c>
    </row>
    <row r="173" spans="12:25" ht="15" hidden="1" x14ac:dyDescent="0.25">
      <c r="L173" s="166">
        <v>8</v>
      </c>
      <c r="M173" s="165" t="s">
        <v>235</v>
      </c>
      <c r="N173" s="165"/>
      <c r="O173" s="166">
        <v>2500</v>
      </c>
      <c r="P173" s="166">
        <v>1.04</v>
      </c>
      <c r="Q173" s="166">
        <v>4.7</v>
      </c>
      <c r="R173" s="166">
        <v>3.98</v>
      </c>
      <c r="S173" s="166">
        <v>11.6</v>
      </c>
      <c r="T173" s="166">
        <v>3.4000000000000002E-4</v>
      </c>
      <c r="U173" s="166">
        <v>1.7E-5</v>
      </c>
      <c r="V173" s="166">
        <f t="shared" si="3"/>
        <v>3.4000000000000002E-4</v>
      </c>
      <c r="W173" s="166">
        <v>1.72</v>
      </c>
      <c r="X173" s="166">
        <v>110</v>
      </c>
      <c r="Y173" s="166">
        <v>8.4700000000000006</v>
      </c>
    </row>
    <row r="174" spans="12:25" ht="15" hidden="1" x14ac:dyDescent="0.25">
      <c r="L174" s="166">
        <v>9</v>
      </c>
      <c r="M174" s="165" t="s">
        <v>236</v>
      </c>
      <c r="N174" s="165"/>
      <c r="O174" s="166">
        <v>2500</v>
      </c>
      <c r="P174" s="166">
        <v>1.85</v>
      </c>
      <c r="Q174" s="166">
        <v>8.43</v>
      </c>
      <c r="R174" s="166">
        <v>7.06</v>
      </c>
      <c r="S174" s="166">
        <v>21.5</v>
      </c>
      <c r="T174" s="166">
        <v>6.2E-4</v>
      </c>
      <c r="U174" s="166">
        <v>1.7E-5</v>
      </c>
      <c r="V174" s="166">
        <f t="shared" si="3"/>
        <v>6.2E-4</v>
      </c>
      <c r="W174" s="166">
        <v>1.79</v>
      </c>
      <c r="X174" s="166">
        <v>115</v>
      </c>
      <c r="Y174" s="166">
        <v>3.47</v>
      </c>
    </row>
    <row r="175" spans="12:25" ht="15" hidden="1" x14ac:dyDescent="0.25">
      <c r="L175" s="166">
        <v>10</v>
      </c>
      <c r="M175" s="165" t="s">
        <v>237</v>
      </c>
      <c r="N175" s="165"/>
      <c r="O175" s="166">
        <v>4000</v>
      </c>
      <c r="P175" s="166">
        <v>3.2</v>
      </c>
      <c r="Q175" s="166">
        <v>11.6</v>
      </c>
      <c r="R175" s="166">
        <v>7.65</v>
      </c>
      <c r="S175" s="166">
        <v>30.1</v>
      </c>
      <c r="T175" s="166">
        <v>9.1E-4</v>
      </c>
      <c r="U175" s="166">
        <v>1.7E-5</v>
      </c>
      <c r="V175" s="166">
        <f t="shared" si="3"/>
        <v>9.1E-4</v>
      </c>
      <c r="W175" s="166">
        <v>1.24</v>
      </c>
      <c r="X175" s="166">
        <v>79.8</v>
      </c>
      <c r="Y175" s="166">
        <v>1</v>
      </c>
    </row>
    <row r="176" spans="12:25" ht="15" hidden="1" x14ac:dyDescent="0.25">
      <c r="L176" s="166">
        <v>11</v>
      </c>
      <c r="M176" s="165" t="s">
        <v>238</v>
      </c>
      <c r="N176" s="165"/>
      <c r="O176" s="166">
        <v>3500</v>
      </c>
      <c r="P176" s="166">
        <v>3.68</v>
      </c>
      <c r="Q176" s="166">
        <v>14.4</v>
      </c>
      <c r="R176" s="166">
        <v>10.050000000000001</v>
      </c>
      <c r="S176" s="166">
        <v>38.4</v>
      </c>
      <c r="T176" s="166">
        <v>1.1999999999999999E-3</v>
      </c>
      <c r="U176" s="166">
        <v>1.7E-5</v>
      </c>
      <c r="V176" s="166">
        <f t="shared" si="3"/>
        <v>1.1999999999999999E-3</v>
      </c>
      <c r="W176" s="166">
        <v>1.5</v>
      </c>
      <c r="X176" s="166">
        <v>96.6</v>
      </c>
      <c r="Y176" s="166">
        <v>1.02</v>
      </c>
    </row>
    <row r="177" spans="12:25" ht="15" hidden="1" x14ac:dyDescent="0.25">
      <c r="L177" s="166">
        <v>12</v>
      </c>
      <c r="M177" s="165" t="s">
        <v>239</v>
      </c>
      <c r="N177" s="165"/>
      <c r="O177" s="166">
        <v>3500</v>
      </c>
      <c r="P177" s="166">
        <v>3.3</v>
      </c>
      <c r="Q177" s="166">
        <v>12.2</v>
      </c>
      <c r="R177" s="166">
        <v>9</v>
      </c>
      <c r="S177" s="166">
        <v>30.1</v>
      </c>
      <c r="T177" s="166">
        <v>1.6999999999999999E-3</v>
      </c>
      <c r="U177" s="166">
        <v>6.0999999999999999E-5</v>
      </c>
      <c r="V177" s="166">
        <f t="shared" si="3"/>
        <v>1.6999999999999999E-3</v>
      </c>
      <c r="W177" s="166">
        <v>1.28</v>
      </c>
      <c r="X177" s="166">
        <v>82.1</v>
      </c>
      <c r="Y177" s="166">
        <v>1.05</v>
      </c>
    </row>
    <row r="178" spans="12:25" ht="15" hidden="1" x14ac:dyDescent="0.25">
      <c r="L178" s="166">
        <v>13</v>
      </c>
      <c r="M178" s="165" t="s">
        <v>240</v>
      </c>
      <c r="N178" s="165"/>
      <c r="O178" s="166">
        <v>3000</v>
      </c>
      <c r="P178" s="166">
        <v>4.05</v>
      </c>
      <c r="Q178" s="166">
        <v>16.8</v>
      </c>
      <c r="R178" s="166">
        <v>12.9</v>
      </c>
      <c r="S178" s="166">
        <v>42.6</v>
      </c>
      <c r="T178" s="166">
        <v>2.3999999999999998E-3</v>
      </c>
      <c r="U178" s="166">
        <v>6.0999999999999999E-5</v>
      </c>
      <c r="V178" s="166">
        <f t="shared" si="3"/>
        <v>2.3999999999999998E-3</v>
      </c>
      <c r="W178" s="166">
        <v>1.71</v>
      </c>
      <c r="X178" s="166">
        <v>110</v>
      </c>
      <c r="Y178" s="166">
        <v>1.0900000000000001</v>
      </c>
    </row>
    <row r="179" spans="12:25" ht="15" hidden="1" x14ac:dyDescent="0.25">
      <c r="L179" s="166">
        <v>14</v>
      </c>
      <c r="M179" s="165" t="s">
        <v>241</v>
      </c>
      <c r="N179" s="165"/>
      <c r="O179" s="166">
        <v>3000</v>
      </c>
      <c r="P179" s="166">
        <v>4.9000000000000004</v>
      </c>
      <c r="Q179" s="166">
        <v>21</v>
      </c>
      <c r="R179" s="166">
        <v>15.6</v>
      </c>
      <c r="S179" s="166">
        <v>54.1</v>
      </c>
      <c r="T179" s="166">
        <v>3.2000000000000002E-3</v>
      </c>
      <c r="U179" s="166">
        <v>6.0999999999999999E-5</v>
      </c>
      <c r="V179" s="166">
        <f t="shared" si="3"/>
        <v>3.2000000000000002E-3</v>
      </c>
      <c r="W179" s="166">
        <v>1.66</v>
      </c>
      <c r="X179" s="166">
        <v>107</v>
      </c>
      <c r="Y179" s="166">
        <v>0.71</v>
      </c>
    </row>
    <row r="180" spans="12:25" ht="15" hidden="1" x14ac:dyDescent="0.25">
      <c r="L180" s="166">
        <v>15</v>
      </c>
      <c r="M180" s="165" t="s">
        <v>242</v>
      </c>
      <c r="N180" s="165"/>
      <c r="O180" s="166">
        <v>2500</v>
      </c>
      <c r="P180" s="166">
        <v>5.03</v>
      </c>
      <c r="Q180" s="166">
        <v>25</v>
      </c>
      <c r="R180" s="166">
        <v>19.2</v>
      </c>
      <c r="S180" s="166">
        <v>65.2</v>
      </c>
      <c r="T180" s="166">
        <v>4.0000000000000001E-3</v>
      </c>
      <c r="U180" s="166">
        <v>6.0999999999999999E-5</v>
      </c>
      <c r="V180" s="166">
        <f t="shared" si="3"/>
        <v>4.0000000000000001E-3</v>
      </c>
      <c r="W180" s="166">
        <v>1.85</v>
      </c>
      <c r="X180" s="166">
        <v>119</v>
      </c>
      <c r="Y180" s="166">
        <v>0.68</v>
      </c>
    </row>
    <row r="181" spans="12:25" ht="15" hidden="1" x14ac:dyDescent="0.25">
      <c r="L181" s="166">
        <v>16</v>
      </c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  <c r="X181" s="168"/>
      <c r="Y181" s="168"/>
    </row>
    <row r="182" spans="12:25" ht="15" hidden="1" x14ac:dyDescent="0.25">
      <c r="L182" s="166">
        <v>17</v>
      </c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  <c r="X182" s="168"/>
      <c r="Y182" s="168"/>
    </row>
    <row r="183" spans="12:25" ht="15" hidden="1" x14ac:dyDescent="0.25">
      <c r="L183" s="166">
        <v>18</v>
      </c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  <c r="X183" s="168"/>
      <c r="Y183" s="168"/>
    </row>
    <row r="184" spans="12:25" ht="15" hidden="1" x14ac:dyDescent="0.25">
      <c r="L184" s="166">
        <v>19</v>
      </c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  <c r="X184" s="168"/>
      <c r="Y184" s="168"/>
    </row>
    <row r="185" spans="12:25" ht="15" hidden="1" x14ac:dyDescent="0.25">
      <c r="L185" s="166">
        <v>20</v>
      </c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  <c r="X185" s="168"/>
      <c r="Y185" s="168"/>
    </row>
    <row r="186" spans="12:25" ht="15" hidden="1" x14ac:dyDescent="0.25">
      <c r="L186" s="166">
        <v>21</v>
      </c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</row>
    <row r="187" spans="12:25" ht="15" hidden="1" x14ac:dyDescent="0.25">
      <c r="L187" s="166">
        <v>22</v>
      </c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  <c r="X187" s="168"/>
      <c r="Y187" s="168"/>
    </row>
    <row r="188" spans="12:25" ht="15" hidden="1" x14ac:dyDescent="0.25">
      <c r="L188" s="166">
        <v>23</v>
      </c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  <c r="X188" s="168"/>
      <c r="Y188" s="168"/>
    </row>
    <row r="189" spans="12:25" ht="15" hidden="1" x14ac:dyDescent="0.25">
      <c r="L189" s="166">
        <v>24</v>
      </c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  <c r="X189" s="168"/>
      <c r="Y189" s="168"/>
    </row>
    <row r="190" spans="12:25" hidden="1" x14ac:dyDescent="0.2"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  <c r="X190" s="168"/>
      <c r="Y190" s="168"/>
    </row>
    <row r="191" spans="12:25" hidden="1" x14ac:dyDescent="0.2"/>
    <row r="192" spans="12:25" hidden="1" x14ac:dyDescent="0.2"/>
    <row r="193" spans="12:18" hidden="1" x14ac:dyDescent="0.2">
      <c r="M193" s="168" t="s">
        <v>276</v>
      </c>
      <c r="N193" s="168"/>
      <c r="O193" s="169" t="s">
        <v>217</v>
      </c>
      <c r="P193" s="169" t="s">
        <v>220</v>
      </c>
      <c r="Q193" s="169" t="s">
        <v>40</v>
      </c>
      <c r="R193" s="168" t="s">
        <v>243</v>
      </c>
    </row>
    <row r="194" spans="12:18" ht="15" hidden="1" x14ac:dyDescent="0.25">
      <c r="L194" s="168"/>
      <c r="M194" s="182" t="str">
        <f>VLOOKUP($L$262,$L$195:M218,M$162)</f>
        <v>IEC90 with brake 3000 rpm 2,2 kW</v>
      </c>
      <c r="N194" s="182">
        <f>VLOOKUP($L$262,$L$195:N218,N$162)</f>
        <v>0</v>
      </c>
      <c r="O194" s="182">
        <f>VLOOKUP($L$262,$L$195:O218,O$162)</f>
        <v>2850</v>
      </c>
      <c r="P194" s="182">
        <f>VLOOKUP($L$262,$L$195:P218,P$162)</f>
        <v>2.2000000000000002</v>
      </c>
      <c r="Q194" s="182">
        <f>VLOOKUP($L$262,$L$195:Q218,Q$162)</f>
        <v>7.5188435087719316</v>
      </c>
      <c r="R194" s="182">
        <f>VLOOKUP($L$262,$L$195:R218,R$162)</f>
        <v>1.8100000000000002E-3</v>
      </c>
    </row>
    <row r="195" spans="12:18" hidden="1" x14ac:dyDescent="0.2">
      <c r="L195" s="169">
        <v>1</v>
      </c>
      <c r="M195" s="170" t="s">
        <v>244</v>
      </c>
      <c r="N195" s="168"/>
      <c r="O195" s="169">
        <v>2750</v>
      </c>
      <c r="P195" s="169">
        <v>0.25</v>
      </c>
      <c r="Q195" s="171">
        <f t="shared" ref="Q195:Q210" si="4">71620*1.36*P195/O195/10</f>
        <v>0.88548363636363647</v>
      </c>
      <c r="R195" s="169">
        <v>2.3000000000000001E-4</v>
      </c>
    </row>
    <row r="196" spans="12:18" hidden="1" x14ac:dyDescent="0.2">
      <c r="L196" s="169">
        <v>2</v>
      </c>
      <c r="M196" s="170" t="s">
        <v>245</v>
      </c>
      <c r="N196" s="168"/>
      <c r="O196" s="169">
        <v>2750</v>
      </c>
      <c r="P196" s="169">
        <v>0.25</v>
      </c>
      <c r="Q196" s="171">
        <f t="shared" si="4"/>
        <v>0.88548363636363647</v>
      </c>
      <c r="R196" s="169">
        <v>2.5000000000000001E-4</v>
      </c>
    </row>
    <row r="197" spans="12:18" hidden="1" x14ac:dyDescent="0.2">
      <c r="L197" s="169">
        <v>3</v>
      </c>
      <c r="M197" s="170" t="s">
        <v>246</v>
      </c>
      <c r="N197" s="168"/>
      <c r="O197" s="169">
        <v>1360</v>
      </c>
      <c r="P197" s="169">
        <v>0.18</v>
      </c>
      <c r="Q197" s="171">
        <f t="shared" si="4"/>
        <v>1.2891600000000001</v>
      </c>
      <c r="R197" s="169">
        <v>2.5000000000000001E-4</v>
      </c>
    </row>
    <row r="198" spans="12:18" hidden="1" x14ac:dyDescent="0.2">
      <c r="L198" s="169">
        <v>4</v>
      </c>
      <c r="M198" s="170" t="s">
        <v>247</v>
      </c>
      <c r="N198" s="168"/>
      <c r="O198" s="169">
        <v>1360</v>
      </c>
      <c r="P198" s="169">
        <v>0.18</v>
      </c>
      <c r="Q198" s="171">
        <f t="shared" si="4"/>
        <v>1.2891600000000001</v>
      </c>
      <c r="R198" s="169">
        <v>3.5E-4</v>
      </c>
    </row>
    <row r="199" spans="12:18" hidden="1" x14ac:dyDescent="0.2">
      <c r="L199" s="169">
        <v>5</v>
      </c>
      <c r="M199" s="170" t="s">
        <v>248</v>
      </c>
      <c r="N199" s="168"/>
      <c r="O199" s="169">
        <v>2760</v>
      </c>
      <c r="P199" s="169">
        <v>0.55000000000000004</v>
      </c>
      <c r="Q199" s="171">
        <f t="shared" si="4"/>
        <v>1.9410057971014496</v>
      </c>
      <c r="R199" s="169">
        <v>4.2000000000000002E-4</v>
      </c>
    </row>
    <row r="200" spans="12:18" hidden="1" x14ac:dyDescent="0.2">
      <c r="L200" s="169">
        <v>6</v>
      </c>
      <c r="M200" s="170" t="s">
        <v>249</v>
      </c>
      <c r="N200" s="168"/>
      <c r="O200" s="169">
        <v>2760</v>
      </c>
      <c r="P200" s="169">
        <v>0.55000000000000004</v>
      </c>
      <c r="Q200" s="171">
        <v>1.9</v>
      </c>
      <c r="R200" s="169">
        <v>4.8999999999999998E-4</v>
      </c>
    </row>
    <row r="201" spans="12:18" hidden="1" x14ac:dyDescent="0.2">
      <c r="L201" s="169">
        <v>7</v>
      </c>
      <c r="M201" s="170" t="s">
        <v>250</v>
      </c>
      <c r="N201" s="168"/>
      <c r="O201" s="169">
        <v>1370</v>
      </c>
      <c r="P201" s="169">
        <v>0.37</v>
      </c>
      <c r="Q201" s="171">
        <f t="shared" si="4"/>
        <v>2.6305973722627738</v>
      </c>
      <c r="R201" s="172">
        <v>8.0999999999999996E-4</v>
      </c>
    </row>
    <row r="202" spans="12:18" hidden="1" x14ac:dyDescent="0.2">
      <c r="L202" s="169">
        <v>8</v>
      </c>
      <c r="M202" s="170" t="s">
        <v>251</v>
      </c>
      <c r="N202" s="168"/>
      <c r="O202" s="169">
        <v>1370</v>
      </c>
      <c r="P202" s="169">
        <v>0.37</v>
      </c>
      <c r="Q202" s="171">
        <f t="shared" si="4"/>
        <v>2.6305973722627738</v>
      </c>
      <c r="R202" s="169">
        <v>9.3999999999999997E-4</v>
      </c>
    </row>
    <row r="203" spans="12:18" hidden="1" x14ac:dyDescent="0.2">
      <c r="L203" s="169">
        <v>9</v>
      </c>
      <c r="M203" s="170" t="s">
        <v>252</v>
      </c>
      <c r="N203" s="168"/>
      <c r="O203" s="169">
        <v>2840</v>
      </c>
      <c r="P203" s="169">
        <v>1.1000000000000001</v>
      </c>
      <c r="Q203" s="171">
        <f t="shared" si="4"/>
        <v>3.7726591549295785</v>
      </c>
      <c r="R203" s="169">
        <v>9.7999999999999997E-4</v>
      </c>
    </row>
    <row r="204" spans="12:18" hidden="1" x14ac:dyDescent="0.2">
      <c r="L204" s="169">
        <v>10</v>
      </c>
      <c r="M204" s="170" t="s">
        <v>253</v>
      </c>
      <c r="N204" s="168"/>
      <c r="O204" s="169">
        <v>2840</v>
      </c>
      <c r="P204" s="169">
        <v>1.1000000000000001</v>
      </c>
      <c r="Q204" s="171">
        <f t="shared" si="4"/>
        <v>3.7726591549295785</v>
      </c>
      <c r="R204" s="169">
        <f>0.000061+R203</f>
        <v>1.041E-3</v>
      </c>
    </row>
    <row r="205" spans="12:18" hidden="1" x14ac:dyDescent="0.2">
      <c r="L205" s="169">
        <v>11</v>
      </c>
      <c r="M205" s="170" t="s">
        <v>254</v>
      </c>
      <c r="N205" s="168"/>
      <c r="O205" s="169">
        <v>1380</v>
      </c>
      <c r="P205" s="169">
        <v>0.75</v>
      </c>
      <c r="Q205" s="171">
        <f t="shared" si="4"/>
        <v>5.2936521739130438</v>
      </c>
      <c r="R205" s="169">
        <v>1.874E-3</v>
      </c>
    </row>
    <row r="206" spans="12:18" hidden="1" x14ac:dyDescent="0.2">
      <c r="L206" s="169">
        <v>12</v>
      </c>
      <c r="M206" s="170" t="s">
        <v>255</v>
      </c>
      <c r="N206" s="168"/>
      <c r="O206" s="169">
        <v>1380</v>
      </c>
      <c r="P206" s="169">
        <v>0.75</v>
      </c>
      <c r="Q206" s="171">
        <f t="shared" si="4"/>
        <v>5.2936521739130438</v>
      </c>
      <c r="R206" s="169">
        <f>0.000061+R205</f>
        <v>1.9350000000000001E-3</v>
      </c>
    </row>
    <row r="207" spans="12:18" hidden="1" x14ac:dyDescent="0.2">
      <c r="L207" s="169">
        <v>13</v>
      </c>
      <c r="M207" s="170" t="s">
        <v>256</v>
      </c>
      <c r="N207" s="168"/>
      <c r="O207" s="169">
        <v>2860</v>
      </c>
      <c r="P207" s="169">
        <v>2.2000000000000002</v>
      </c>
      <c r="Q207" s="171">
        <v>7.3</v>
      </c>
      <c r="R207" s="172">
        <v>1.6100000000000001E-3</v>
      </c>
    </row>
    <row r="208" spans="12:18" hidden="1" x14ac:dyDescent="0.2">
      <c r="L208" s="169">
        <v>14</v>
      </c>
      <c r="M208" s="170" t="s">
        <v>257</v>
      </c>
      <c r="N208" s="168"/>
      <c r="O208" s="169">
        <v>2850</v>
      </c>
      <c r="P208" s="169">
        <v>2.2000000000000002</v>
      </c>
      <c r="Q208" s="171">
        <f t="shared" si="4"/>
        <v>7.5188435087719316</v>
      </c>
      <c r="R208" s="172">
        <f>0.0002+R207</f>
        <v>1.8100000000000002E-3</v>
      </c>
    </row>
    <row r="209" spans="12:18" hidden="1" x14ac:dyDescent="0.2">
      <c r="L209" s="169">
        <v>15</v>
      </c>
      <c r="M209" s="170" t="s">
        <v>258</v>
      </c>
      <c r="N209" s="168"/>
      <c r="O209" s="169">
        <v>1420</v>
      </c>
      <c r="P209" s="169">
        <v>1.5</v>
      </c>
      <c r="Q209" s="171">
        <f t="shared" si="4"/>
        <v>10.289070422535213</v>
      </c>
      <c r="R209" s="172">
        <v>2.8E-3</v>
      </c>
    </row>
    <row r="210" spans="12:18" hidden="1" x14ac:dyDescent="0.2">
      <c r="L210" s="169">
        <v>16</v>
      </c>
      <c r="M210" s="170" t="s">
        <v>259</v>
      </c>
      <c r="N210" s="168"/>
      <c r="O210" s="169">
        <v>1420</v>
      </c>
      <c r="P210" s="169">
        <v>1.5</v>
      </c>
      <c r="Q210" s="171">
        <f t="shared" si="4"/>
        <v>10.289070422535213</v>
      </c>
      <c r="R210" s="172">
        <v>4.1000000000000003E-3</v>
      </c>
    </row>
    <row r="211" spans="12:18" hidden="1" x14ac:dyDescent="0.2">
      <c r="L211" s="169">
        <v>17</v>
      </c>
      <c r="M211" s="170" t="s">
        <v>260</v>
      </c>
      <c r="N211" s="168"/>
      <c r="O211" s="169">
        <v>2850</v>
      </c>
      <c r="P211" s="169">
        <v>3</v>
      </c>
      <c r="Q211" s="169">
        <v>9.9</v>
      </c>
      <c r="R211" s="169">
        <v>3.2000000000000002E-3</v>
      </c>
    </row>
    <row r="212" spans="12:18" hidden="1" x14ac:dyDescent="0.2">
      <c r="L212" s="169">
        <v>18</v>
      </c>
      <c r="M212" s="170" t="s">
        <v>261</v>
      </c>
      <c r="N212" s="168"/>
      <c r="O212" s="169">
        <v>2850</v>
      </c>
      <c r="P212" s="169">
        <v>3</v>
      </c>
      <c r="Q212" s="169">
        <v>9.9</v>
      </c>
      <c r="R212" s="173">
        <v>4.2700000000000004E-3</v>
      </c>
    </row>
    <row r="213" spans="12:18" hidden="1" x14ac:dyDescent="0.2">
      <c r="L213" s="169">
        <v>19</v>
      </c>
      <c r="M213" s="174" t="s">
        <v>262</v>
      </c>
      <c r="N213" s="175"/>
      <c r="O213" s="176">
        <v>1430</v>
      </c>
      <c r="P213" s="176">
        <v>3</v>
      </c>
      <c r="Q213" s="176">
        <v>20</v>
      </c>
      <c r="R213" s="176">
        <v>6.0000000000000001E-3</v>
      </c>
    </row>
    <row r="214" spans="12:18" hidden="1" x14ac:dyDescent="0.2">
      <c r="L214" s="169">
        <v>20</v>
      </c>
      <c r="M214" s="174" t="s">
        <v>263</v>
      </c>
      <c r="N214" s="175"/>
      <c r="O214" s="176">
        <v>1430</v>
      </c>
      <c r="P214" s="176">
        <v>3</v>
      </c>
      <c r="Q214" s="176">
        <v>20</v>
      </c>
      <c r="R214" s="176">
        <v>1.01E-2</v>
      </c>
    </row>
    <row r="215" spans="12:18" hidden="1" x14ac:dyDescent="0.2">
      <c r="L215" s="169">
        <v>21</v>
      </c>
      <c r="M215" s="174" t="s">
        <v>264</v>
      </c>
      <c r="N215" s="175"/>
      <c r="O215" s="176">
        <v>2890</v>
      </c>
      <c r="P215" s="176">
        <v>4</v>
      </c>
      <c r="Q215" s="176">
        <v>13.2</v>
      </c>
      <c r="R215" s="176">
        <v>4.9899999999999996E-3</v>
      </c>
    </row>
    <row r="216" spans="12:18" hidden="1" x14ac:dyDescent="0.2">
      <c r="L216" s="169">
        <v>22</v>
      </c>
      <c r="M216" s="174" t="s">
        <v>265</v>
      </c>
      <c r="N216" s="175"/>
      <c r="O216" s="176">
        <v>2890</v>
      </c>
      <c r="P216" s="176">
        <v>4</v>
      </c>
      <c r="Q216" s="176">
        <v>13.2</v>
      </c>
      <c r="R216" s="176">
        <v>8.3000000000000001E-3</v>
      </c>
    </row>
    <row r="217" spans="12:18" hidden="1" x14ac:dyDescent="0.2">
      <c r="L217" s="169">
        <v>23</v>
      </c>
      <c r="M217" s="174" t="s">
        <v>266</v>
      </c>
      <c r="N217" s="175"/>
      <c r="O217" s="176">
        <v>1420</v>
      </c>
      <c r="P217" s="176">
        <v>4</v>
      </c>
      <c r="Q217" s="176">
        <v>26.6</v>
      </c>
      <c r="R217" s="176">
        <v>1.1140000000000001E-2</v>
      </c>
    </row>
    <row r="218" spans="12:18" hidden="1" x14ac:dyDescent="0.2">
      <c r="L218" s="169">
        <v>24</v>
      </c>
      <c r="M218" s="174" t="s">
        <v>267</v>
      </c>
      <c r="N218" s="175"/>
      <c r="O218" s="176">
        <v>1420</v>
      </c>
      <c r="P218" s="176">
        <v>4</v>
      </c>
      <c r="Q218" s="176">
        <v>26.6</v>
      </c>
      <c r="R218" s="176">
        <v>0.02</v>
      </c>
    </row>
    <row r="219" spans="12:18" hidden="1" x14ac:dyDescent="0.2">
      <c r="L219" s="169"/>
      <c r="M219" s="170"/>
      <c r="N219" s="168"/>
      <c r="O219" s="169"/>
      <c r="P219" s="169"/>
      <c r="Q219" s="171"/>
      <c r="R219" s="172"/>
    </row>
    <row r="220" spans="12:18" hidden="1" x14ac:dyDescent="0.2">
      <c r="L220" s="169"/>
      <c r="M220" s="170"/>
      <c r="N220" s="168"/>
      <c r="O220" s="169"/>
      <c r="P220" s="169"/>
      <c r="Q220" s="171"/>
      <c r="R220" s="172"/>
    </row>
    <row r="221" spans="12:18" hidden="1" x14ac:dyDescent="0.2">
      <c r="O221" s="177" t="s">
        <v>268</v>
      </c>
      <c r="P221" s="169" t="s">
        <v>214</v>
      </c>
    </row>
    <row r="222" spans="12:18" ht="15" hidden="1" x14ac:dyDescent="0.25">
      <c r="L222" s="168"/>
      <c r="M222" s="182" t="str">
        <f>VLOOKUP($L$262,$L$223:M246,M$162)</f>
        <v>-</v>
      </c>
      <c r="N222" s="182">
        <f>VLOOKUP($L$262,$L$223:N246,N$162)</f>
        <v>0</v>
      </c>
      <c r="O222" s="182" t="str">
        <f>VLOOKUP($L$262,$L$223:O246,O$162)</f>
        <v>-</v>
      </c>
      <c r="P222" s="182" t="str">
        <f>VLOOKUP($L$262,$L$223:P246,P$162)</f>
        <v>-</v>
      </c>
    </row>
    <row r="223" spans="12:18" hidden="1" x14ac:dyDescent="0.2">
      <c r="L223" s="169">
        <v>1</v>
      </c>
      <c r="M223" s="168" t="s">
        <v>269</v>
      </c>
      <c r="N223" s="168"/>
      <c r="O223" s="169">
        <v>1.2</v>
      </c>
      <c r="P223" s="169">
        <v>2.4000000000000001E-5</v>
      </c>
    </row>
    <row r="224" spans="12:18" hidden="1" x14ac:dyDescent="0.2">
      <c r="L224" s="169">
        <v>2</v>
      </c>
      <c r="M224" s="168" t="s">
        <v>270</v>
      </c>
      <c r="N224" s="168"/>
      <c r="O224" s="169">
        <v>1.77</v>
      </c>
      <c r="P224" s="178">
        <v>3.9499999999999998E-5</v>
      </c>
    </row>
    <row r="225" spans="12:16" hidden="1" x14ac:dyDescent="0.2">
      <c r="L225" s="169">
        <v>3</v>
      </c>
      <c r="M225" s="168" t="s">
        <v>271</v>
      </c>
      <c r="N225" s="168"/>
      <c r="O225" s="169">
        <v>2.4700000000000002</v>
      </c>
      <c r="P225" s="178">
        <v>5.9299999999999998E-5</v>
      </c>
    </row>
    <row r="226" spans="12:16" hidden="1" x14ac:dyDescent="0.2">
      <c r="L226" s="169">
        <v>4</v>
      </c>
      <c r="M226" s="168" t="s">
        <v>272</v>
      </c>
      <c r="N226" s="168"/>
      <c r="O226" s="169">
        <v>2.72</v>
      </c>
      <c r="P226" s="178">
        <v>1.13E-4</v>
      </c>
    </row>
    <row r="227" spans="12:16" hidden="1" x14ac:dyDescent="0.2">
      <c r="L227" s="169">
        <v>5</v>
      </c>
      <c r="M227" s="168" t="s">
        <v>273</v>
      </c>
      <c r="N227" s="168"/>
      <c r="O227" s="169">
        <v>5.44</v>
      </c>
      <c r="P227" s="178">
        <v>2.1900000000000001E-4</v>
      </c>
    </row>
    <row r="228" spans="12:16" hidden="1" x14ac:dyDescent="0.2">
      <c r="L228" s="169">
        <v>6</v>
      </c>
      <c r="M228" s="168" t="s">
        <v>274</v>
      </c>
      <c r="N228" s="168"/>
      <c r="O228" s="169">
        <v>8.16</v>
      </c>
      <c r="P228" s="178">
        <v>3.3199999999999999E-4</v>
      </c>
    </row>
    <row r="229" spans="12:16" hidden="1" x14ac:dyDescent="0.2">
      <c r="L229" s="169">
        <v>7</v>
      </c>
      <c r="M229" s="169" t="s">
        <v>275</v>
      </c>
      <c r="N229" s="168"/>
      <c r="O229" s="169" t="s">
        <v>275</v>
      </c>
      <c r="P229" s="169" t="s">
        <v>275</v>
      </c>
    </row>
    <row r="230" spans="12:16" hidden="1" x14ac:dyDescent="0.2">
      <c r="L230" s="169">
        <v>8</v>
      </c>
      <c r="M230" s="169" t="s">
        <v>275</v>
      </c>
      <c r="N230" s="168"/>
      <c r="O230" s="169" t="s">
        <v>275</v>
      </c>
      <c r="P230" s="169" t="s">
        <v>275</v>
      </c>
    </row>
    <row r="231" spans="12:16" hidden="1" x14ac:dyDescent="0.2">
      <c r="L231" s="169">
        <v>9</v>
      </c>
      <c r="M231" s="169" t="s">
        <v>275</v>
      </c>
      <c r="N231" s="168"/>
      <c r="O231" s="169" t="s">
        <v>275</v>
      </c>
      <c r="P231" s="169" t="s">
        <v>275</v>
      </c>
    </row>
    <row r="232" spans="12:16" hidden="1" x14ac:dyDescent="0.2">
      <c r="L232" s="169">
        <v>10</v>
      </c>
      <c r="M232" s="169" t="s">
        <v>275</v>
      </c>
      <c r="N232" s="168"/>
      <c r="O232" s="169" t="s">
        <v>275</v>
      </c>
      <c r="P232" s="169" t="s">
        <v>275</v>
      </c>
    </row>
    <row r="233" spans="12:16" hidden="1" x14ac:dyDescent="0.2">
      <c r="L233" s="169">
        <v>11</v>
      </c>
      <c r="M233" s="169" t="s">
        <v>275</v>
      </c>
      <c r="N233" s="168"/>
      <c r="O233" s="169" t="s">
        <v>275</v>
      </c>
      <c r="P233" s="169" t="s">
        <v>275</v>
      </c>
    </row>
    <row r="234" spans="12:16" hidden="1" x14ac:dyDescent="0.2">
      <c r="L234" s="169">
        <v>12</v>
      </c>
      <c r="M234" s="169" t="s">
        <v>275</v>
      </c>
      <c r="N234" s="168"/>
      <c r="O234" s="169" t="s">
        <v>275</v>
      </c>
      <c r="P234" s="169" t="s">
        <v>275</v>
      </c>
    </row>
    <row r="235" spans="12:16" hidden="1" x14ac:dyDescent="0.2">
      <c r="L235" s="169">
        <v>13</v>
      </c>
      <c r="M235" s="169" t="s">
        <v>275</v>
      </c>
      <c r="N235" s="168"/>
      <c r="O235" s="169" t="s">
        <v>275</v>
      </c>
      <c r="P235" s="169" t="s">
        <v>275</v>
      </c>
    </row>
    <row r="236" spans="12:16" hidden="1" x14ac:dyDescent="0.2">
      <c r="L236" s="169">
        <v>14</v>
      </c>
      <c r="M236" s="169" t="s">
        <v>275</v>
      </c>
      <c r="N236" s="168"/>
      <c r="O236" s="169" t="s">
        <v>275</v>
      </c>
      <c r="P236" s="169" t="s">
        <v>275</v>
      </c>
    </row>
    <row r="237" spans="12:16" hidden="1" x14ac:dyDescent="0.2">
      <c r="L237" s="169">
        <v>15</v>
      </c>
      <c r="M237" s="169" t="s">
        <v>275</v>
      </c>
      <c r="N237" s="168"/>
      <c r="O237" s="169" t="s">
        <v>275</v>
      </c>
      <c r="P237" s="169" t="s">
        <v>275</v>
      </c>
    </row>
    <row r="238" spans="12:16" hidden="1" x14ac:dyDescent="0.2">
      <c r="L238" s="169">
        <v>16</v>
      </c>
      <c r="M238" s="169" t="s">
        <v>275</v>
      </c>
      <c r="N238" s="168"/>
      <c r="O238" s="169" t="s">
        <v>275</v>
      </c>
      <c r="P238" s="169" t="s">
        <v>275</v>
      </c>
    </row>
    <row r="239" spans="12:16" hidden="1" x14ac:dyDescent="0.2">
      <c r="L239" s="169">
        <v>17</v>
      </c>
      <c r="M239" s="169" t="s">
        <v>275</v>
      </c>
      <c r="N239" s="168"/>
      <c r="O239" s="169" t="s">
        <v>275</v>
      </c>
      <c r="P239" s="169" t="s">
        <v>275</v>
      </c>
    </row>
    <row r="240" spans="12:16" hidden="1" x14ac:dyDescent="0.2">
      <c r="L240" s="169">
        <v>18</v>
      </c>
      <c r="M240" s="169" t="s">
        <v>275</v>
      </c>
      <c r="N240" s="168"/>
      <c r="O240" s="169" t="s">
        <v>275</v>
      </c>
      <c r="P240" s="169" t="s">
        <v>275</v>
      </c>
    </row>
    <row r="241" spans="12:16" hidden="1" x14ac:dyDescent="0.2">
      <c r="L241" s="169">
        <v>19</v>
      </c>
      <c r="M241" s="169" t="s">
        <v>275</v>
      </c>
      <c r="N241" s="168"/>
      <c r="O241" s="169" t="s">
        <v>275</v>
      </c>
      <c r="P241" s="169" t="s">
        <v>275</v>
      </c>
    </row>
    <row r="242" spans="12:16" hidden="1" x14ac:dyDescent="0.2">
      <c r="L242" s="169">
        <v>20</v>
      </c>
      <c r="M242" s="169" t="s">
        <v>275</v>
      </c>
      <c r="N242" s="168"/>
      <c r="O242" s="169" t="s">
        <v>275</v>
      </c>
      <c r="P242" s="169" t="s">
        <v>275</v>
      </c>
    </row>
    <row r="243" spans="12:16" hidden="1" x14ac:dyDescent="0.2">
      <c r="L243" s="169">
        <v>21</v>
      </c>
      <c r="M243" s="169" t="s">
        <v>275</v>
      </c>
      <c r="N243" s="168"/>
      <c r="O243" s="169" t="s">
        <v>275</v>
      </c>
      <c r="P243" s="169" t="s">
        <v>275</v>
      </c>
    </row>
    <row r="244" spans="12:16" hidden="1" x14ac:dyDescent="0.2">
      <c r="L244" s="169">
        <v>22</v>
      </c>
      <c r="M244" s="169" t="s">
        <v>275</v>
      </c>
      <c r="N244" s="168"/>
      <c r="O244" s="169" t="s">
        <v>275</v>
      </c>
      <c r="P244" s="169" t="s">
        <v>275</v>
      </c>
    </row>
    <row r="245" spans="12:16" hidden="1" x14ac:dyDescent="0.2">
      <c r="L245" s="169">
        <v>23</v>
      </c>
      <c r="M245" s="169" t="s">
        <v>275</v>
      </c>
      <c r="N245" s="168"/>
      <c r="O245" s="169" t="s">
        <v>275</v>
      </c>
      <c r="P245" s="169" t="s">
        <v>275</v>
      </c>
    </row>
    <row r="246" spans="12:16" hidden="1" x14ac:dyDescent="0.2">
      <c r="L246" s="169">
        <v>24</v>
      </c>
      <c r="M246" s="169" t="s">
        <v>275</v>
      </c>
      <c r="N246" s="168"/>
      <c r="O246" s="169" t="s">
        <v>275</v>
      </c>
      <c r="P246" s="169" t="s">
        <v>275</v>
      </c>
    </row>
    <row r="247" spans="12:16" hidden="1" x14ac:dyDescent="0.2"/>
    <row r="248" spans="12:16" hidden="1" x14ac:dyDescent="0.2"/>
    <row r="249" spans="12:16" hidden="1" x14ac:dyDescent="0.2"/>
    <row r="250" spans="12:16" hidden="1" x14ac:dyDescent="0.2">
      <c r="L250" s="122">
        <v>2</v>
      </c>
    </row>
    <row r="251" spans="12:16" hidden="1" x14ac:dyDescent="0.2">
      <c r="L251" s="18">
        <v>1</v>
      </c>
      <c r="M251" s="18" t="s">
        <v>278</v>
      </c>
    </row>
    <row r="252" spans="12:16" hidden="1" x14ac:dyDescent="0.2">
      <c r="L252" s="18">
        <v>2</v>
      </c>
      <c r="M252" s="18" t="s">
        <v>279</v>
      </c>
    </row>
    <row r="253" spans="12:16" hidden="1" x14ac:dyDescent="0.2"/>
    <row r="254" spans="12:16" hidden="1" x14ac:dyDescent="0.2">
      <c r="L254" s="122">
        <v>3</v>
      </c>
      <c r="O254" s="122">
        <v>1</v>
      </c>
    </row>
    <row r="255" spans="12:16" hidden="1" x14ac:dyDescent="0.2">
      <c r="L255" s="18">
        <v>1</v>
      </c>
      <c r="M255" s="18" t="s">
        <v>283</v>
      </c>
      <c r="O255" s="18">
        <v>1</v>
      </c>
      <c r="P255" s="18" t="str">
        <f>IF($L$254=3,"Without brake"," ")</f>
        <v>Without brake</v>
      </c>
    </row>
    <row r="256" spans="12:16" hidden="1" x14ac:dyDescent="0.2">
      <c r="L256" s="18">
        <v>2</v>
      </c>
      <c r="M256" s="18" t="s">
        <v>284</v>
      </c>
      <c r="O256" s="18">
        <v>2</v>
      </c>
      <c r="P256" s="18" t="str">
        <f>IF($L$254=3,"With brake"," ")</f>
        <v>With brake</v>
      </c>
    </row>
    <row r="257" spans="12:13" hidden="1" x14ac:dyDescent="0.2">
      <c r="L257" s="18">
        <v>3</v>
      </c>
      <c r="M257" s="18" t="s">
        <v>277</v>
      </c>
    </row>
    <row r="258" spans="12:13" hidden="1" x14ac:dyDescent="0.2">
      <c r="L258" s="18">
        <v>4</v>
      </c>
      <c r="M258" s="18" t="s">
        <v>285</v>
      </c>
    </row>
    <row r="259" spans="12:13" hidden="1" x14ac:dyDescent="0.2">
      <c r="L259" s="18">
        <v>5</v>
      </c>
      <c r="M259" s="18" t="s">
        <v>289</v>
      </c>
    </row>
    <row r="260" spans="12:13" hidden="1" x14ac:dyDescent="0.2"/>
    <row r="261" spans="12:13" hidden="1" x14ac:dyDescent="0.2"/>
    <row r="262" spans="12:13" hidden="1" x14ac:dyDescent="0.2">
      <c r="L262" s="121">
        <v>14</v>
      </c>
    </row>
    <row r="263" spans="12:13" hidden="1" x14ac:dyDescent="0.2">
      <c r="L263" s="164">
        <v>1</v>
      </c>
      <c r="M263" s="18" t="str">
        <f t="shared" ref="M263:M286" si="5">IF($L$254=1,"-",IF($L$254=2,M195,IF($L$254=3,M166,IF($L$254=4,M223," - "))))</f>
        <v>AKM31C</v>
      </c>
    </row>
    <row r="264" spans="12:13" hidden="1" x14ac:dyDescent="0.2">
      <c r="L264" s="164">
        <v>2</v>
      </c>
      <c r="M264" s="18" t="str">
        <f t="shared" si="5"/>
        <v>AKM32C</v>
      </c>
    </row>
    <row r="265" spans="12:13" hidden="1" x14ac:dyDescent="0.2">
      <c r="L265" s="164">
        <v>3</v>
      </c>
      <c r="M265" s="18" t="str">
        <f t="shared" si="5"/>
        <v>AKM33E</v>
      </c>
    </row>
    <row r="266" spans="12:13" hidden="1" x14ac:dyDescent="0.2">
      <c r="L266" s="164">
        <v>4</v>
      </c>
      <c r="M266" s="18" t="str">
        <f t="shared" si="5"/>
        <v>AKM41C</v>
      </c>
    </row>
    <row r="267" spans="12:13" hidden="1" x14ac:dyDescent="0.2">
      <c r="L267" s="164">
        <v>5</v>
      </c>
      <c r="M267" s="18" t="str">
        <f t="shared" si="5"/>
        <v>AKM42E</v>
      </c>
    </row>
    <row r="268" spans="12:13" hidden="1" x14ac:dyDescent="0.2">
      <c r="L268" s="164">
        <v>6</v>
      </c>
      <c r="M268" s="18" t="str">
        <f t="shared" si="5"/>
        <v>AKM43E</v>
      </c>
    </row>
    <row r="269" spans="12:13" hidden="1" x14ac:dyDescent="0.2">
      <c r="L269" s="164">
        <v>7</v>
      </c>
      <c r="M269" s="18" t="str">
        <f t="shared" si="5"/>
        <v>AKM44G</v>
      </c>
    </row>
    <row r="270" spans="12:13" hidden="1" x14ac:dyDescent="0.2">
      <c r="L270" s="164">
        <v>8</v>
      </c>
      <c r="M270" s="18" t="str">
        <f t="shared" si="5"/>
        <v>AKM51E</v>
      </c>
    </row>
    <row r="271" spans="12:13" hidden="1" x14ac:dyDescent="0.2">
      <c r="L271" s="164">
        <v>9</v>
      </c>
      <c r="M271" s="18" t="str">
        <f t="shared" si="5"/>
        <v>AKM52G</v>
      </c>
    </row>
    <row r="272" spans="12:13" hidden="1" x14ac:dyDescent="0.2">
      <c r="L272" s="164">
        <v>10</v>
      </c>
      <c r="M272" s="18" t="str">
        <f t="shared" si="5"/>
        <v>AKM53K</v>
      </c>
    </row>
    <row r="273" spans="12:13" hidden="1" x14ac:dyDescent="0.2">
      <c r="L273" s="164">
        <v>11</v>
      </c>
      <c r="M273" s="18" t="str">
        <f t="shared" si="5"/>
        <v>AKM54K</v>
      </c>
    </row>
    <row r="274" spans="12:13" hidden="1" x14ac:dyDescent="0.2">
      <c r="L274" s="164">
        <v>12</v>
      </c>
      <c r="M274" s="18" t="str">
        <f t="shared" si="5"/>
        <v>AKM62K</v>
      </c>
    </row>
    <row r="275" spans="12:13" hidden="1" x14ac:dyDescent="0.2">
      <c r="L275" s="164">
        <v>13</v>
      </c>
      <c r="M275" s="18" t="str">
        <f t="shared" si="5"/>
        <v>AKM63K</v>
      </c>
    </row>
    <row r="276" spans="12:13" hidden="1" x14ac:dyDescent="0.2">
      <c r="L276" s="164">
        <v>14</v>
      </c>
      <c r="M276" s="18" t="str">
        <f t="shared" si="5"/>
        <v>AKM64L</v>
      </c>
    </row>
    <row r="277" spans="12:13" hidden="1" x14ac:dyDescent="0.2">
      <c r="L277" s="164">
        <v>15</v>
      </c>
      <c r="M277" s="18" t="str">
        <f t="shared" si="5"/>
        <v>AKM65M</v>
      </c>
    </row>
    <row r="278" spans="12:13" hidden="1" x14ac:dyDescent="0.2">
      <c r="L278" s="164">
        <v>16</v>
      </c>
      <c r="M278" s="18">
        <f t="shared" si="5"/>
        <v>0</v>
      </c>
    </row>
    <row r="279" spans="12:13" hidden="1" x14ac:dyDescent="0.2">
      <c r="L279" s="164">
        <v>17</v>
      </c>
      <c r="M279" s="18">
        <f t="shared" si="5"/>
        <v>0</v>
      </c>
    </row>
    <row r="280" spans="12:13" hidden="1" x14ac:dyDescent="0.2">
      <c r="L280" s="164">
        <v>18</v>
      </c>
      <c r="M280" s="18">
        <f t="shared" si="5"/>
        <v>0</v>
      </c>
    </row>
    <row r="281" spans="12:13" hidden="1" x14ac:dyDescent="0.2">
      <c r="L281" s="164">
        <v>19</v>
      </c>
      <c r="M281" s="18">
        <f t="shared" si="5"/>
        <v>0</v>
      </c>
    </row>
    <row r="282" spans="12:13" hidden="1" x14ac:dyDescent="0.2">
      <c r="L282" s="164">
        <v>20</v>
      </c>
      <c r="M282" s="18">
        <f t="shared" si="5"/>
        <v>0</v>
      </c>
    </row>
    <row r="283" spans="12:13" hidden="1" x14ac:dyDescent="0.2">
      <c r="L283" s="164">
        <v>21</v>
      </c>
      <c r="M283" s="18">
        <f t="shared" si="5"/>
        <v>0</v>
      </c>
    </row>
    <row r="284" spans="12:13" hidden="1" x14ac:dyDescent="0.2">
      <c r="L284" s="164">
        <v>22</v>
      </c>
      <c r="M284" s="18">
        <f t="shared" si="5"/>
        <v>0</v>
      </c>
    </row>
    <row r="285" spans="12:13" hidden="1" x14ac:dyDescent="0.2">
      <c r="L285" s="164">
        <v>23</v>
      </c>
      <c r="M285" s="18">
        <f t="shared" si="5"/>
        <v>0</v>
      </c>
    </row>
    <row r="286" spans="12:13" hidden="1" x14ac:dyDescent="0.2">
      <c r="L286" s="164">
        <v>24</v>
      </c>
      <c r="M286" s="18">
        <f t="shared" si="5"/>
        <v>0</v>
      </c>
    </row>
  </sheetData>
  <sheetProtection password="CC6C" sheet="1" objects="1" scenarios="1"/>
  <mergeCells count="30">
    <mergeCell ref="AE74:AF74"/>
    <mergeCell ref="B4:D4"/>
    <mergeCell ref="B5:D5"/>
    <mergeCell ref="B6:D6"/>
    <mergeCell ref="F6:G6"/>
    <mergeCell ref="AE61:AF61"/>
    <mergeCell ref="AK2:AL2"/>
    <mergeCell ref="O125:T125"/>
    <mergeCell ref="AH20:AI20"/>
    <mergeCell ref="Z99:AA99"/>
    <mergeCell ref="AB99:AC99"/>
    <mergeCell ref="AD99:AE99"/>
    <mergeCell ref="AF99:AG99"/>
    <mergeCell ref="AE87:AF87"/>
    <mergeCell ref="AE21:AF21"/>
    <mergeCell ref="AE35:AF35"/>
    <mergeCell ref="AH99:AI99"/>
    <mergeCell ref="U124:V124"/>
    <mergeCell ref="W124:X124"/>
    <mergeCell ref="X99:Y99"/>
    <mergeCell ref="AE48:AF48"/>
    <mergeCell ref="AK98:AL98"/>
    <mergeCell ref="AM97:AM99"/>
    <mergeCell ref="AN97:AN99"/>
    <mergeCell ref="BB2:BC2"/>
    <mergeCell ref="BD2:BE2"/>
    <mergeCell ref="AT2:AU2"/>
    <mergeCell ref="AW2:AX2"/>
    <mergeCell ref="AY2:AZ2"/>
    <mergeCell ref="AN2:AO2"/>
  </mergeCells>
  <conditionalFormatting sqref="H16">
    <cfRule type="expression" dxfId="9" priority="12" stopIfTrue="1">
      <formula>$Q$10&lt;3</formula>
    </cfRule>
  </conditionalFormatting>
  <conditionalFormatting sqref="G16">
    <cfRule type="expression" dxfId="8" priority="13" stopIfTrue="1">
      <formula>$K$20+$Q$10&lt;3</formula>
    </cfRule>
  </conditionalFormatting>
  <conditionalFormatting sqref="G22">
    <cfRule type="expression" dxfId="7" priority="14" stopIfTrue="1">
      <formula>$M$31=0</formula>
    </cfRule>
  </conditionalFormatting>
  <conditionalFormatting sqref="D20">
    <cfRule type="expression" dxfId="6" priority="7">
      <formula>$Q$15=1</formula>
    </cfRule>
  </conditionalFormatting>
  <conditionalFormatting sqref="D109:D112">
    <cfRule type="expression" dxfId="5" priority="15">
      <formula>$L$250=2</formula>
    </cfRule>
    <cfRule type="expression" dxfId="4" priority="16">
      <formula>$L$250=1</formula>
    </cfRule>
  </conditionalFormatting>
  <conditionalFormatting sqref="D121:I124 D125">
    <cfRule type="expression" dxfId="3" priority="17">
      <formula>$L$254=5</formula>
    </cfRule>
  </conditionalFormatting>
  <conditionalFormatting sqref="A126:G133">
    <cfRule type="expression" dxfId="2" priority="19">
      <formula>$L$254=1</formula>
    </cfRule>
  </conditionalFormatting>
  <conditionalFormatting sqref="F131">
    <cfRule type="expression" dxfId="1" priority="20">
      <formula>$L$254=2</formula>
    </cfRule>
  </conditionalFormatting>
  <pageMargins left="0.70866141732283472" right="0" top="0.74803149606299213" bottom="0.74803149606299213" header="0.31496062992125984" footer="0.31496062992125984"/>
  <pageSetup paperSize="9" orientation="portrait" verticalDpi="0" r:id="rId1"/>
  <headerFooter>
    <oddHeader>&amp;C&amp;F</oddHeader>
    <oddFooter>&amp;Cpage &amp;P / &amp;N  printed 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8</xdr:row>
                    <xdr:rowOff>9525</xdr:rowOff>
                  </from>
                  <to>
                    <xdr:col>2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1</xdr:col>
                    <xdr:colOff>600075</xdr:colOff>
                    <xdr:row>14</xdr:row>
                    <xdr:rowOff>171450</xdr:rowOff>
                  </from>
                  <to>
                    <xdr:col>4</xdr:col>
                    <xdr:colOff>304800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3</xdr:col>
                    <xdr:colOff>9525</xdr:colOff>
                    <xdr:row>18</xdr:row>
                    <xdr:rowOff>0</xdr:rowOff>
                  </from>
                  <to>
                    <xdr:col>4</xdr:col>
                    <xdr:colOff>542925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66675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defaultSize="0" autoLine="0" autoPict="0">
                <anchor moveWithCells="1">
                  <from>
                    <xdr:col>5</xdr:col>
                    <xdr:colOff>180975</xdr:colOff>
                    <xdr:row>47</xdr:row>
                    <xdr:rowOff>9525</xdr:rowOff>
                  </from>
                  <to>
                    <xdr:col>6</xdr:col>
                    <xdr:colOff>47625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Drop Down 13">
              <controlPr defaultSize="0" autoLine="0" autoPict="0">
                <anchor moveWithCells="1">
                  <from>
                    <xdr:col>7</xdr:col>
                    <xdr:colOff>57150</xdr:colOff>
                    <xdr:row>41</xdr:row>
                    <xdr:rowOff>9525</xdr:rowOff>
                  </from>
                  <to>
                    <xdr:col>9</xdr:col>
                    <xdr:colOff>123825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Drop Down 26">
              <controlPr defaultSize="0" autoLine="0" autoPict="0">
                <anchor moveWithCells="1">
                  <from>
                    <xdr:col>0</xdr:col>
                    <xdr:colOff>619125</xdr:colOff>
                    <xdr:row>106</xdr:row>
                    <xdr:rowOff>171450</xdr:rowOff>
                  </from>
                  <to>
                    <xdr:col>2</xdr:col>
                    <xdr:colOff>581025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Drop Down 27">
              <controlPr defaultSize="0" autoLine="0" autoPict="0">
                <anchor moveWithCells="1">
                  <from>
                    <xdr:col>1</xdr:col>
                    <xdr:colOff>0</xdr:colOff>
                    <xdr:row>113</xdr:row>
                    <xdr:rowOff>171450</xdr:rowOff>
                  </from>
                  <to>
                    <xdr:col>2</xdr:col>
                    <xdr:colOff>571500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Drop Down 28">
              <controlPr defaultSize="0" autoLine="0" autoPict="0">
                <anchor moveWithCells="1">
                  <from>
                    <xdr:col>6</xdr:col>
                    <xdr:colOff>466725</xdr:colOff>
                    <xdr:row>113</xdr:row>
                    <xdr:rowOff>161925</xdr:rowOff>
                  </from>
                  <to>
                    <xdr:col>8</xdr:col>
                    <xdr:colOff>304800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Drop Down 29">
              <controlPr defaultSize="0" autoLine="0" autoPict="0">
                <anchor moveWithCells="1">
                  <from>
                    <xdr:col>3</xdr:col>
                    <xdr:colOff>0</xdr:colOff>
                    <xdr:row>113</xdr:row>
                    <xdr:rowOff>180975</xdr:rowOff>
                  </from>
                  <to>
                    <xdr:col>6</xdr:col>
                    <xdr:colOff>428625</xdr:colOff>
                    <xdr:row>114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Drop Down 30">
              <controlPr defaultSize="0" autoLine="0" autoPict="0">
                <anchor moveWithCells="1">
                  <from>
                    <xdr:col>3</xdr:col>
                    <xdr:colOff>581025</xdr:colOff>
                    <xdr:row>82</xdr:row>
                    <xdr:rowOff>104775</xdr:rowOff>
                  </from>
                  <to>
                    <xdr:col>9</xdr:col>
                    <xdr:colOff>590550</xdr:colOff>
                    <xdr:row>83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workbookViewId="0">
      <selection activeCell="I88" sqref="I88"/>
    </sheetView>
  </sheetViews>
  <sheetFormatPr defaultRowHeight="15" x14ac:dyDescent="0.25"/>
  <sheetData>
    <row r="2" spans="1:14" x14ac:dyDescent="0.25">
      <c r="B2" s="56" t="s">
        <v>49</v>
      </c>
    </row>
    <row r="4" spans="1:14" x14ac:dyDescent="0.25">
      <c r="A4" t="s">
        <v>46</v>
      </c>
      <c r="C4" s="57">
        <f>Calculation!C51</f>
        <v>1</v>
      </c>
      <c r="D4" s="58" t="s">
        <v>50</v>
      </c>
      <c r="I4">
        <f>IF((J8+J10)&gt;H6,1,0)</f>
        <v>0</v>
      </c>
    </row>
    <row r="5" spans="1:14" x14ac:dyDescent="0.25">
      <c r="A5" t="s">
        <v>51</v>
      </c>
      <c r="C5" s="59">
        <f>C4</f>
        <v>1</v>
      </c>
      <c r="D5" s="60" t="s">
        <v>50</v>
      </c>
      <c r="I5">
        <f>IF(I4=1,J5,C7)</f>
        <v>1</v>
      </c>
      <c r="J5">
        <f>I9*C4</f>
        <v>1.2247448713915889</v>
      </c>
    </row>
    <row r="6" spans="1:14" x14ac:dyDescent="0.25">
      <c r="A6" t="s">
        <v>52</v>
      </c>
      <c r="C6" s="59">
        <f>Calculation!C53</f>
        <v>1500</v>
      </c>
      <c r="D6" s="60" t="s">
        <v>10</v>
      </c>
      <c r="H6" s="59">
        <f>C6/1000</f>
        <v>1.5</v>
      </c>
    </row>
    <row r="7" spans="1:14" x14ac:dyDescent="0.25">
      <c r="A7" t="s">
        <v>45</v>
      </c>
      <c r="C7" s="59">
        <f>Calculation!C50</f>
        <v>1</v>
      </c>
      <c r="D7" s="60" t="s">
        <v>47</v>
      </c>
    </row>
    <row r="8" spans="1:14" x14ac:dyDescent="0.25">
      <c r="A8" t="s">
        <v>53</v>
      </c>
      <c r="C8" s="61">
        <f>1000*H8</f>
        <v>500</v>
      </c>
      <c r="D8" s="60" t="s">
        <v>10</v>
      </c>
      <c r="H8" s="62">
        <f>IF(I4=0,J8,I8)</f>
        <v>0.5</v>
      </c>
      <c r="I8">
        <f>H6*C5/(C5+C4)</f>
        <v>0.75</v>
      </c>
      <c r="J8" s="63">
        <f>C4*J9*J9/2</f>
        <v>0.5</v>
      </c>
      <c r="K8" s="17"/>
    </row>
    <row r="9" spans="1:14" x14ac:dyDescent="0.25">
      <c r="A9" t="s">
        <v>54</v>
      </c>
      <c r="C9" s="62">
        <f>IF(I4=0,J9,I9)</f>
        <v>1</v>
      </c>
      <c r="D9" s="60" t="s">
        <v>55</v>
      </c>
      <c r="I9">
        <f>SQRT(2*I8/C4)</f>
        <v>1.2247448713915889</v>
      </c>
      <c r="J9" s="63">
        <f>C7/C4</f>
        <v>1</v>
      </c>
    </row>
    <row r="10" spans="1:14" x14ac:dyDescent="0.25">
      <c r="A10" t="s">
        <v>56</v>
      </c>
      <c r="C10" s="61">
        <f>H10*1000</f>
        <v>500</v>
      </c>
      <c r="D10" s="60" t="s">
        <v>10</v>
      </c>
      <c r="H10" s="62">
        <f>IF(I4=0,J10,I10)</f>
        <v>0.5</v>
      </c>
      <c r="I10">
        <f>H6*C4/(C5+C4)</f>
        <v>0.75</v>
      </c>
      <c r="J10" s="63">
        <f>C5*J11*J11/2</f>
        <v>0.5</v>
      </c>
    </row>
    <row r="11" spans="1:14" x14ac:dyDescent="0.25">
      <c r="A11" t="s">
        <v>57</v>
      </c>
      <c r="C11" s="62">
        <f>IF(I4=0,J11,I11)</f>
        <v>1</v>
      </c>
      <c r="D11" s="60" t="s">
        <v>55</v>
      </c>
      <c r="I11">
        <f>SQRT(2*I10/C5)</f>
        <v>1.2247448713915889</v>
      </c>
      <c r="J11" s="63">
        <f>C7/C5</f>
        <v>1</v>
      </c>
      <c r="K11">
        <v>0</v>
      </c>
      <c r="L11" s="64">
        <f>H8*1000</f>
        <v>500</v>
      </c>
      <c r="M11" s="64">
        <f>L11+H12*1000</f>
        <v>1000</v>
      </c>
      <c r="N11">
        <f>H6*1000</f>
        <v>1500</v>
      </c>
    </row>
    <row r="12" spans="1:14" x14ac:dyDescent="0.25">
      <c r="A12" t="s">
        <v>58</v>
      </c>
      <c r="C12" s="61">
        <f>H12*1000</f>
        <v>500</v>
      </c>
      <c r="D12" s="60" t="s">
        <v>10</v>
      </c>
      <c r="H12" s="62">
        <f>H6-H8-H10</f>
        <v>0.5</v>
      </c>
      <c r="J12" s="65" t="str">
        <f>IF((H8+H10)&gt;H6,"Du når ej önskad max hastighet"," ")</f>
        <v xml:space="preserve"> </v>
      </c>
      <c r="K12">
        <v>0</v>
      </c>
      <c r="L12">
        <f>I5</f>
        <v>1</v>
      </c>
      <c r="M12">
        <f>L12</f>
        <v>1</v>
      </c>
      <c r="N12">
        <v>0</v>
      </c>
    </row>
    <row r="13" spans="1:14" x14ac:dyDescent="0.25">
      <c r="A13" t="s">
        <v>59</v>
      </c>
      <c r="C13" s="62">
        <f>H12/C7</f>
        <v>0.5</v>
      </c>
      <c r="D13" s="60" t="s">
        <v>55</v>
      </c>
    </row>
    <row r="14" spans="1:14" x14ac:dyDescent="0.25">
      <c r="A14" t="s">
        <v>60</v>
      </c>
      <c r="C14" s="62">
        <f>IF(I4=0,J14,I14)</f>
        <v>2.5</v>
      </c>
      <c r="D14" s="60" t="s">
        <v>55</v>
      </c>
      <c r="I14">
        <f>I9+I11</f>
        <v>2.4494897427831779</v>
      </c>
      <c r="J14" s="66">
        <f>C11+C9+C13</f>
        <v>2.5</v>
      </c>
    </row>
    <row r="15" spans="1:14" x14ac:dyDescent="0.25">
      <c r="A15" t="s">
        <v>61</v>
      </c>
      <c r="C15" s="66">
        <f>H6/C14</f>
        <v>0.6</v>
      </c>
      <c r="D15" s="67" t="s">
        <v>47</v>
      </c>
    </row>
    <row r="17" spans="1:4" x14ac:dyDescent="0.25">
      <c r="A17" s="65" t="str">
        <f>IF(I4=1,"You will not reach full speed"," ")</f>
        <v xml:space="preserve"> </v>
      </c>
    </row>
    <row r="18" spans="1:4" x14ac:dyDescent="0.25">
      <c r="A18" s="65" t="str">
        <f>IF(I4=1,"You will reach just"," ")</f>
        <v xml:space="preserve"> </v>
      </c>
      <c r="C18" s="68" t="str">
        <f>IF(I4=1,I9*C4," ")</f>
        <v xml:space="preserve"> </v>
      </c>
      <c r="D18" s="65" t="str">
        <f>IF(I4=1,"m/s"," ")</f>
        <v xml:space="preserve"> </v>
      </c>
    </row>
  </sheetData>
  <conditionalFormatting sqref="C18">
    <cfRule type="expression" dxfId="0" priority="1" stopIfTrue="1">
      <formula>$I$88=1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64" zoomScaleNormal="100" workbookViewId="0">
      <selection activeCell="J74" sqref="J74"/>
    </sheetView>
  </sheetViews>
  <sheetFormatPr defaultRowHeight="15" x14ac:dyDescent="0.25"/>
  <cols>
    <col min="1" max="1" width="16.140625" customWidth="1"/>
  </cols>
  <sheetData>
    <row r="1" spans="1:2" ht="18" x14ac:dyDescent="0.25">
      <c r="A1" s="223" t="s">
        <v>326</v>
      </c>
    </row>
    <row r="3" spans="1:2" x14ac:dyDescent="0.25">
      <c r="A3" s="224" t="s">
        <v>28</v>
      </c>
      <c r="B3" t="s">
        <v>327</v>
      </c>
    </row>
    <row r="4" spans="1:2" x14ac:dyDescent="0.25">
      <c r="B4" t="s">
        <v>328</v>
      </c>
    </row>
    <row r="5" spans="1:2" x14ac:dyDescent="0.25">
      <c r="B5" t="s">
        <v>329</v>
      </c>
    </row>
    <row r="7" spans="1:2" x14ac:dyDescent="0.25">
      <c r="A7" s="224" t="s">
        <v>45</v>
      </c>
      <c r="B7" t="s">
        <v>330</v>
      </c>
    </row>
    <row r="9" spans="1:2" x14ac:dyDescent="0.25">
      <c r="A9" s="225" t="s">
        <v>46</v>
      </c>
      <c r="B9" t="s">
        <v>331</v>
      </c>
    </row>
    <row r="10" spans="1:2" x14ac:dyDescent="0.25">
      <c r="B10" t="s">
        <v>332</v>
      </c>
    </row>
    <row r="12" spans="1:2" x14ac:dyDescent="0.25">
      <c r="A12" s="224" t="s">
        <v>333</v>
      </c>
      <c r="B12" t="s">
        <v>334</v>
      </c>
    </row>
    <row r="13" spans="1:2" x14ac:dyDescent="0.25">
      <c r="A13" s="17"/>
      <c r="B13" t="s">
        <v>335</v>
      </c>
    </row>
    <row r="14" spans="1:2" x14ac:dyDescent="0.25">
      <c r="A14" s="224"/>
      <c r="B14" t="s">
        <v>336</v>
      </c>
    </row>
    <row r="15" spans="1:2" x14ac:dyDescent="0.25">
      <c r="B15" t="s">
        <v>337</v>
      </c>
    </row>
    <row r="16" spans="1:2" x14ac:dyDescent="0.25">
      <c r="B16" t="s">
        <v>338</v>
      </c>
    </row>
    <row r="18" spans="1:7" x14ac:dyDescent="0.25">
      <c r="A18" s="226"/>
    </row>
    <row r="19" spans="1:7" x14ac:dyDescent="0.25">
      <c r="A19" s="226"/>
    </row>
    <row r="20" spans="1:7" x14ac:dyDescent="0.25">
      <c r="F20" t="s">
        <v>339</v>
      </c>
    </row>
    <row r="22" spans="1:7" x14ac:dyDescent="0.25">
      <c r="G22" s="226" t="s">
        <v>339</v>
      </c>
    </row>
    <row r="26" spans="1:7" x14ac:dyDescent="0.25">
      <c r="B26" t="s">
        <v>340</v>
      </c>
    </row>
    <row r="27" spans="1:7" x14ac:dyDescent="0.25">
      <c r="B27" t="s">
        <v>341</v>
      </c>
    </row>
    <row r="28" spans="1:7" x14ac:dyDescent="0.25">
      <c r="B28" t="s">
        <v>342</v>
      </c>
    </row>
    <row r="29" spans="1:7" x14ac:dyDescent="0.25">
      <c r="B29" t="s">
        <v>343</v>
      </c>
    </row>
    <row r="30" spans="1:7" x14ac:dyDescent="0.25">
      <c r="B30" t="s">
        <v>344</v>
      </c>
    </row>
    <row r="32" spans="1:7" x14ac:dyDescent="0.25">
      <c r="B32" t="s">
        <v>345</v>
      </c>
    </row>
    <row r="33" spans="1:3" x14ac:dyDescent="0.25">
      <c r="C33" t="s">
        <v>346</v>
      </c>
    </row>
    <row r="34" spans="1:3" x14ac:dyDescent="0.25">
      <c r="C34" t="s">
        <v>347</v>
      </c>
    </row>
    <row r="36" spans="1:3" x14ac:dyDescent="0.25">
      <c r="C36" t="s">
        <v>348</v>
      </c>
    </row>
    <row r="38" spans="1:3" x14ac:dyDescent="0.25">
      <c r="C38" t="s">
        <v>349</v>
      </c>
    </row>
    <row r="42" spans="1:3" x14ac:dyDescent="0.25">
      <c r="A42" s="227" t="s">
        <v>350</v>
      </c>
      <c r="B42" t="s">
        <v>351</v>
      </c>
    </row>
    <row r="43" spans="1:3" x14ac:dyDescent="0.25">
      <c r="B43" t="s">
        <v>352</v>
      </c>
    </row>
    <row r="44" spans="1:3" x14ac:dyDescent="0.25">
      <c r="B44" t="s">
        <v>353</v>
      </c>
    </row>
    <row r="46" spans="1:3" x14ac:dyDescent="0.25">
      <c r="C46" t="s">
        <v>314</v>
      </c>
    </row>
    <row r="47" spans="1:3" x14ac:dyDescent="0.25">
      <c r="C47" t="s">
        <v>315</v>
      </c>
    </row>
    <row r="48" spans="1:3" x14ac:dyDescent="0.25">
      <c r="C48" t="s">
        <v>316</v>
      </c>
    </row>
    <row r="49" spans="1:4" x14ac:dyDescent="0.25">
      <c r="C49" t="s">
        <v>317</v>
      </c>
    </row>
    <row r="50" spans="1:4" x14ac:dyDescent="0.25">
      <c r="C50" t="s">
        <v>318</v>
      </c>
    </row>
    <row r="51" spans="1:4" x14ac:dyDescent="0.25">
      <c r="C51" t="s">
        <v>319</v>
      </c>
    </row>
    <row r="53" spans="1:4" x14ac:dyDescent="0.25">
      <c r="B53" t="s">
        <v>354</v>
      </c>
    </row>
    <row r="56" spans="1:4" x14ac:dyDescent="0.25">
      <c r="A56" s="239" t="s">
        <v>357</v>
      </c>
      <c r="D56" s="228"/>
    </row>
    <row r="57" spans="1:4" x14ac:dyDescent="0.25">
      <c r="A57" s="240" t="s">
        <v>359</v>
      </c>
    </row>
    <row r="58" spans="1:4" x14ac:dyDescent="0.25">
      <c r="A58" s="240" t="s">
        <v>360</v>
      </c>
    </row>
    <row r="59" spans="1:4" x14ac:dyDescent="0.25">
      <c r="A59" t="s">
        <v>361</v>
      </c>
    </row>
    <row r="61" spans="1:4" x14ac:dyDescent="0.25">
      <c r="A61" t="s">
        <v>362</v>
      </c>
    </row>
    <row r="64" spans="1:4" x14ac:dyDescent="0.25">
      <c r="A64" t="s">
        <v>363</v>
      </c>
    </row>
    <row r="66" spans="1:12" x14ac:dyDescent="0.25">
      <c r="F66" t="s">
        <v>364</v>
      </c>
    </row>
    <row r="68" spans="1:12" x14ac:dyDescent="0.25">
      <c r="A68" t="s">
        <v>365</v>
      </c>
      <c r="L68" t="s">
        <v>366</v>
      </c>
    </row>
    <row r="74" spans="1:12" x14ac:dyDescent="0.25">
      <c r="J74" t="s">
        <v>367</v>
      </c>
    </row>
  </sheetData>
  <sheetProtection password="CC6C" sheet="1" objects="1" scenario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Calculation</vt:lpstr>
      <vt:lpstr>Blad2</vt:lpstr>
      <vt:lpstr>Information</vt:lpstr>
      <vt:lpstr>Calculation!Print_Area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Hjalmarsson</dc:creator>
  <cp:lastModifiedBy>Spectrum1</cp:lastModifiedBy>
  <cp:lastPrinted>2014-08-05T09:23:00Z</cp:lastPrinted>
  <dcterms:created xsi:type="dcterms:W3CDTF">2014-05-13T07:35:45Z</dcterms:created>
  <dcterms:modified xsi:type="dcterms:W3CDTF">2015-04-28T21:48:26Z</dcterms:modified>
</cp:coreProperties>
</file>